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ruehtobi\Desktop\"/>
    </mc:Choice>
  </mc:AlternateContent>
  <xr:revisionPtr revIDLastSave="0" documentId="13_ncr:1_{C2ABD6EC-60F4-4A49-857E-D3154571F285}" xr6:coauthVersionLast="47" xr6:coauthVersionMax="47" xr10:uidLastSave="{00000000-0000-0000-0000-000000000000}"/>
  <bookViews>
    <workbookView xWindow="28680" yWindow="-120" windowWidth="29040" windowHeight="17640" tabRatio="695" activeTab="4" xr2:uid="{00000000-000D-0000-FFFF-FFFF00000000}"/>
  </bookViews>
  <sheets>
    <sheet name="Speed" sheetId="1" r:id="rId1"/>
    <sheet name="Ramp" sheetId="2" r:id="rId2"/>
    <sheet name="Torque" sheetId="4" r:id="rId3"/>
    <sheet name="Voltage" sheetId="8" r:id="rId4"/>
    <sheet name="Temperature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1" i="8" l="1"/>
  <c r="R11" i="6"/>
  <c r="F8" i="4"/>
  <c r="O20" i="4" s="1"/>
  <c r="H7" i="4"/>
  <c r="R15" i="4"/>
  <c r="R19" i="4"/>
  <c r="R11" i="4"/>
  <c r="B7" i="4"/>
  <c r="O16" i="4" l="1"/>
  <c r="R16" i="4" s="1"/>
  <c r="O12" i="4"/>
  <c r="R20" i="4"/>
  <c r="N45" i="2" l="1"/>
  <c r="N17" i="2"/>
  <c r="Q40" i="2"/>
  <c r="Q44" i="2"/>
  <c r="H36" i="2"/>
  <c r="F36" i="2"/>
  <c r="F37" i="2"/>
  <c r="H37" i="2" s="1"/>
  <c r="F35" i="2"/>
  <c r="N41" i="2" s="1"/>
  <c r="Q41" i="2" s="1"/>
  <c r="F8" i="2"/>
  <c r="H8" i="2" s="1"/>
  <c r="F9" i="2"/>
  <c r="H9" i="2" s="1"/>
  <c r="F7" i="2"/>
  <c r="C4" i="2"/>
  <c r="N43" i="1"/>
  <c r="N39" i="1"/>
  <c r="Q39" i="1" s="1"/>
  <c r="N16" i="1"/>
  <c r="Q16" i="2"/>
  <c r="Q12" i="2"/>
  <c r="R12" i="4" l="1"/>
  <c r="Q45" i="2"/>
  <c r="N13" i="2"/>
  <c r="Q17" i="2"/>
  <c r="Q38" i="1" l="1"/>
  <c r="Q11" i="1"/>
  <c r="N12" i="1"/>
  <c r="Q12" i="1" s="1"/>
  <c r="Q16" i="1"/>
  <c r="Q43" i="1"/>
  <c r="Q42" i="1"/>
  <c r="Q15" i="1"/>
  <c r="C4" i="1"/>
  <c r="R15" i="8"/>
  <c r="F9" i="8"/>
  <c r="B9" i="8"/>
  <c r="F8" i="8"/>
  <c r="H8" i="8" s="1"/>
  <c r="B8" i="8"/>
  <c r="C5" i="8"/>
  <c r="O16" i="8" s="1"/>
  <c r="R16" i="8" s="1"/>
  <c r="R15" i="6"/>
  <c r="F9" i="6"/>
  <c r="O12" i="6" s="1"/>
  <c r="B9" i="6"/>
  <c r="F8" i="6"/>
  <c r="H8" i="6" s="1"/>
  <c r="B8" i="6"/>
  <c r="C4" i="6"/>
  <c r="O12" i="8" l="1"/>
  <c r="R12" i="8" s="1"/>
  <c r="O16" i="6"/>
  <c r="R16" i="6" s="1"/>
  <c r="H9" i="8"/>
  <c r="R12" i="6"/>
  <c r="H9" i="6"/>
  <c r="H35" i="2" l="1"/>
  <c r="H7" i="2"/>
  <c r="Q13" i="2" l="1"/>
  <c r="B7" i="2"/>
  <c r="B8" i="2" s="1"/>
  <c r="F35" i="1"/>
  <c r="H35" i="1" s="1"/>
  <c r="F34" i="1"/>
  <c r="F7" i="1"/>
  <c r="H7" i="1" s="1"/>
  <c r="F8" i="1"/>
  <c r="H8" i="1" s="1"/>
  <c r="B35" i="2" l="1"/>
  <c r="B9" i="2"/>
  <c r="B7" i="1"/>
  <c r="B34" i="1" s="1"/>
  <c r="B35" i="1" s="1"/>
  <c r="H34" i="1"/>
  <c r="B37" i="2" l="1"/>
  <c r="B36" i="2"/>
  <c r="B8" i="1"/>
</calcChain>
</file>

<file path=xl/sharedStrings.xml><?xml version="1.0" encoding="utf-8"?>
<sst xmlns="http://schemas.openxmlformats.org/spreadsheetml/2006/main" count="304" uniqueCount="101">
  <si>
    <t>100%=</t>
  </si>
  <si>
    <t>rpm</t>
  </si>
  <si>
    <t>200%=</t>
  </si>
  <si>
    <t>Maximum Speed</t>
  </si>
  <si>
    <t>equals</t>
  </si>
  <si>
    <t>hex</t>
  </si>
  <si>
    <t>=</t>
  </si>
  <si>
    <t>Target Speed =</t>
  </si>
  <si>
    <t xml:space="preserve">Command Value = </t>
  </si>
  <si>
    <t xml:space="preserve">Actual Speed = </t>
  </si>
  <si>
    <t>dez</t>
  </si>
  <si>
    <t>Speed Calculations KeDrive PROFIdrive</t>
  </si>
  <si>
    <t>rpm/s</t>
  </si>
  <si>
    <t>Maximum Acceleration/Deceleration</t>
  </si>
  <si>
    <t>Version:</t>
  </si>
  <si>
    <t>Nm</t>
  </si>
  <si>
    <t>%</t>
  </si>
  <si>
    <t>Target Torque =</t>
  </si>
  <si>
    <t>°C</t>
  </si>
  <si>
    <t>Target Temp. =</t>
  </si>
  <si>
    <t xml:space="preserve">Resulting Temp. = </t>
  </si>
  <si>
    <t>V</t>
  </si>
  <si>
    <r>
      <t xml:space="preserve">Actual Speed </t>
    </r>
    <r>
      <rPr>
        <b/>
        <i/>
        <sz val="11"/>
        <color theme="1"/>
        <rFont val="Calibri"/>
        <family val="2"/>
        <scheme val="minor"/>
      </rPr>
      <t>NIST_A</t>
    </r>
    <r>
      <rPr>
        <sz val="11"/>
        <color theme="1"/>
        <rFont val="Calibri"/>
        <family val="2"/>
        <scheme val="minor"/>
      </rPr>
      <t xml:space="preserve"> = </t>
    </r>
  </si>
  <si>
    <t>Target Speed</t>
  </si>
  <si>
    <r>
      <t xml:space="preserve">Command Value </t>
    </r>
    <r>
      <rPr>
        <b/>
        <i/>
        <sz val="11"/>
        <color theme="1"/>
        <rFont val="Calibri"/>
        <family val="2"/>
        <scheme val="minor"/>
      </rPr>
      <t>NSOLL_A</t>
    </r>
    <r>
      <rPr>
        <sz val="11"/>
        <color theme="1"/>
        <rFont val="Calibri"/>
        <family val="2"/>
        <scheme val="minor"/>
      </rPr>
      <t xml:space="preserve"> = </t>
    </r>
  </si>
  <si>
    <r>
      <t xml:space="preserve">Command Value </t>
    </r>
    <r>
      <rPr>
        <b/>
        <i/>
        <sz val="11"/>
        <color theme="1"/>
        <rFont val="Calibri"/>
        <family val="2"/>
        <scheme val="minor"/>
      </rPr>
      <t>NSOLL_B</t>
    </r>
    <r>
      <rPr>
        <sz val="11"/>
        <color theme="1"/>
        <rFont val="Calibri"/>
        <family val="2"/>
        <scheme val="minor"/>
      </rPr>
      <t xml:space="preserve"> = </t>
    </r>
  </si>
  <si>
    <r>
      <t xml:space="preserve">Actual Speed </t>
    </r>
    <r>
      <rPr>
        <b/>
        <i/>
        <sz val="11"/>
        <color theme="1"/>
        <rFont val="Calibri"/>
        <family val="2"/>
        <scheme val="minor"/>
      </rPr>
      <t>NIST_B</t>
    </r>
    <r>
      <rPr>
        <sz val="11"/>
        <color theme="1"/>
        <rFont val="Calibri"/>
        <family val="2"/>
        <scheme val="minor"/>
      </rPr>
      <t xml:space="preserve"> = </t>
    </r>
  </si>
  <si>
    <t>N2 Normalization (16 Bit)</t>
  </si>
  <si>
    <t>N4 Normalization (32 Bit)</t>
  </si>
  <si>
    <r>
      <t xml:space="preserve">Example 1.1: PNU 60000 = 6000 rpm reference speed, </t>
    </r>
    <r>
      <rPr>
        <i/>
        <sz val="11"/>
        <color theme="1"/>
        <rFont val="Calibri"/>
        <family val="2"/>
        <scheme val="minor"/>
      </rPr>
      <t>D3_WriteDPV1.ValueN2 = 25.0%</t>
    </r>
    <r>
      <rPr>
        <sz val="11"/>
        <color theme="1"/>
        <rFont val="Calibri"/>
        <family val="2"/>
        <scheme val="minor"/>
      </rPr>
      <t xml:space="preserve"> to PNU 1203 </t>
    </r>
    <r>
      <rPr>
        <i/>
        <sz val="11"/>
        <color theme="1"/>
        <rFont val="Calibri"/>
        <family val="2"/>
        <scheme val="minor"/>
      </rPr>
      <t>→ Resulting jog speed = 1500 rpm</t>
    </r>
  </si>
  <si>
    <r>
      <t xml:space="preserve">Example 1.2: PNU 60000 = 3000 rpm reference speed, </t>
    </r>
    <r>
      <rPr>
        <i/>
        <sz val="11"/>
        <color theme="1"/>
        <rFont val="Calibri"/>
        <family val="2"/>
        <scheme val="minor"/>
      </rPr>
      <t>D3_WriteDPV1.ValueN2 = 25.0%</t>
    </r>
    <r>
      <rPr>
        <sz val="11"/>
        <color theme="1"/>
        <rFont val="Calibri"/>
        <family val="2"/>
        <scheme val="minor"/>
      </rPr>
      <t xml:space="preserve"> to PNU 1203 </t>
    </r>
    <r>
      <rPr>
        <i/>
        <sz val="11"/>
        <color theme="1"/>
        <rFont val="Calibri"/>
        <family val="2"/>
        <scheme val="minor"/>
      </rPr>
      <t>→ Resulting jog speed = 750 rpm</t>
    </r>
  </si>
  <si>
    <t>SIEMENS "SINA_PARA(_S)"</t>
  </si>
  <si>
    <r>
      <t xml:space="preserve">Example 1.3: PNU 60000 = 6000 rpm, jog speed 1 should be </t>
    </r>
    <r>
      <rPr>
        <i/>
        <sz val="11"/>
        <color theme="1"/>
        <rFont val="Calibri"/>
        <family val="2"/>
        <scheme val="minor"/>
      </rPr>
      <t>45.8</t>
    </r>
    <r>
      <rPr>
        <sz val="11"/>
        <color theme="1"/>
        <rFont val="Calibri"/>
        <family val="2"/>
        <scheme val="minor"/>
      </rPr>
      <t xml:space="preserve"> rpm, calculation = </t>
    </r>
    <r>
      <rPr>
        <i/>
        <sz val="11"/>
        <color theme="1"/>
        <rFont val="Calibri"/>
        <family val="2"/>
        <scheme val="minor"/>
      </rPr>
      <t>0x7Dh</t>
    </r>
  </si>
  <si>
    <t>Input</t>
  </si>
  <si>
    <t>Legend:</t>
  </si>
  <si>
    <t>PNU 1203 JOG1/2 (N2)</t>
  </si>
  <si>
    <t>PNU 1035 MDI_VELOCITY (N4)</t>
  </si>
  <si>
    <t>PNU 1005 NSOLL_A 8N2)</t>
  </si>
  <si>
    <t>PNU 1007 NSOLL_B (N4)</t>
  </si>
  <si>
    <t>PNU 1006 NIST_A (N2)</t>
  </si>
  <si>
    <t>PNU 1008 NIST_B (N4)</t>
  </si>
  <si>
    <t>Example: using the calculated hex result of the given percentage/rpm target for:</t>
  </si>
  <si>
    <t>SIEMENS FB "PD_TEL9_DrivePos" (N4)</t>
  </si>
  <si>
    <t>Reference Speed PNU 60000</t>
  </si>
  <si>
    <t>Reference Acceleration/Deceleration PNU 1200 or PNU 1201</t>
  </si>
  <si>
    <t>N2 (A2) Normalization</t>
  </si>
  <si>
    <t>Command Value [dez → hex] → rpm/s:</t>
  </si>
  <si>
    <t>Command Value [dez → hex] → rpm:</t>
  </si>
  <si>
    <t>Max</t>
  </si>
  <si>
    <t>Min</t>
  </si>
  <si>
    <t xml:space="preserve">Actual Ramp = </t>
  </si>
  <si>
    <t>Target Ramp =</t>
  </si>
  <si>
    <t>Ramp Calculations KeDrive PROFIdrive</t>
  </si>
  <si>
    <t>N4 (A4) Normalization</t>
  </si>
  <si>
    <t>PNU 1200 RFG acceleration (A2)</t>
  </si>
  <si>
    <t>PNU 1201 RFG deceleration (A2)</t>
  </si>
  <si>
    <t>PNU 1036 MDI_ACC (A2)</t>
  </si>
  <si>
    <t>PNU 1037 MDI_DEC (A2)</t>
  </si>
  <si>
    <t>T2 (N2) Normalization</t>
  </si>
  <si>
    <t>Reference Torque PNU 59998, initial should be Mot_Tnom</t>
  </si>
  <si>
    <t>Target Torque [Nm] → Command Value [dez → hex]:</t>
  </si>
  <si>
    <t>rpm → Command Value [dez → hex]:</t>
  </si>
  <si>
    <t>rpm/s → Command Value [dez → hex]:</t>
  </si>
  <si>
    <t>Target Scale [%] → Command Value [de → hex]:</t>
  </si>
  <si>
    <t>Target Command [dez → hex] --&gt; Command Value [hex]:</t>
  </si>
  <si>
    <t>Percent Scale</t>
  </si>
  <si>
    <t>Example: using the calculated result for:</t>
  </si>
  <si>
    <t>SIEMENS MC_TorqueLimiting</t>
  </si>
  <si>
    <t>PNU 1101 MOMRED (T2)</t>
  </si>
  <si>
    <t>PNU 1060 MIST (T2)</t>
  </si>
  <si>
    <t>PNU 1103 MOMRED_POS</t>
  </si>
  <si>
    <t>PNU 1104 MOMRED_NEG (T2)</t>
  </si>
  <si>
    <t>PNU 1110 MSOLL (T2)</t>
  </si>
  <si>
    <t>0...100%!</t>
  </si>
  <si>
    <t xml:space="preserve">Example 1.1: SIEMENS MC_TorqueLimiting → TRef = 0,86 Nm→ Set 0.44 Nm → MOMRED = 0x1F41 → TMaxScale = 51,16% </t>
  </si>
  <si>
    <t xml:space="preserve">Example 1.3: SIEMENS MC_TorqueLimiting → TRef = 0,86 Nm → Set 0.70 Nm → MOMRED = 0x0BE8h → TMaxScale = 81,40% </t>
  </si>
  <si>
    <t xml:space="preserve">Example 1.2: SIEMENS MC_TorqueLimiting → TRef = 0,86 Nm → Set 0.11 Nm → MOMRED = 0x37D0 → TMaxScale = 12,80% </t>
  </si>
  <si>
    <t xml:space="preserve">Example 1.4: SIEMENS MC_TorqueLimiting → TRef = 0,86 Nm → Set 0.86 Nm → MOMRED = 0x0000h → TMaxScale = 100% </t>
  </si>
  <si>
    <t>Torque Calculation KeDrive PROFIdrive</t>
  </si>
  <si>
    <t>TH2 (N2) Normalization</t>
  </si>
  <si>
    <t>Max. Temperature</t>
  </si>
  <si>
    <t>KEBA "D3_WriteDPV1" needs the (N2, N4)</t>
  </si>
  <si>
    <t>SIEMENS FB "MC_MoveVelocity" (N4)</t>
  </si>
  <si>
    <t>Tested with V33.20-11 = OK</t>
  </si>
  <si>
    <r>
      <t>Example 1.4: PNU 60000 = 3000 rpm reference speed, "PD_TEL9_DrivePos"</t>
    </r>
    <r>
      <rPr>
        <i/>
        <sz val="11"/>
        <color theme="1"/>
        <rFont val="Calibri"/>
        <family val="2"/>
        <scheme val="minor"/>
      </rPr>
      <t xml:space="preserve"> = 20.0%</t>
    </r>
    <r>
      <rPr>
        <sz val="11"/>
        <color theme="1"/>
        <rFont val="Calibri"/>
        <family val="2"/>
        <scheme val="minor"/>
      </rPr>
      <t xml:space="preserve"> = 0xCCCCCCC to PNU 1350 </t>
    </r>
    <r>
      <rPr>
        <i/>
        <sz val="11"/>
        <color theme="1"/>
        <rFont val="Calibri"/>
        <family val="2"/>
        <scheme val="minor"/>
      </rPr>
      <t>→ Resulting speed = 600 rpm</t>
    </r>
  </si>
  <si>
    <r>
      <t>Example 1.1: PNU 1200 = 1000 rpm reference ramp, "PD_TEL9_DrivePos".accelerationOverrideMDI</t>
    </r>
    <r>
      <rPr>
        <i/>
        <sz val="11"/>
        <color theme="1"/>
        <rFont val="Calibri"/>
        <family val="2"/>
        <scheme val="minor"/>
      </rPr>
      <t xml:space="preserve"> = 50.0%</t>
    </r>
    <r>
      <rPr>
        <sz val="11"/>
        <color theme="1"/>
        <rFont val="Calibri"/>
        <family val="2"/>
        <scheme val="minor"/>
      </rPr>
      <t xml:space="preserve"> = 0x2000 to PNU 1036 </t>
    </r>
    <r>
      <rPr>
        <i/>
        <sz val="11"/>
        <color theme="1"/>
        <rFont val="Calibri"/>
        <family val="2"/>
        <scheme val="minor"/>
      </rPr>
      <t>→ Resulting ramp = 500 rpm/s</t>
    </r>
  </si>
  <si>
    <t>SIEMENS FB "PD_TEL9_DrivePos" (A2)</t>
  </si>
  <si>
    <t>Voltage Caluclation KeDrive PROFIdrive</t>
  </si>
  <si>
    <t>V2 (N2) Normalization</t>
  </si>
  <si>
    <t>Target DC Voltage [V] → Command Value [dez → hex]:</t>
  </si>
  <si>
    <t xml:space="preserve"> Command Value [hex → dez] → Resulting DC Voltage [V]</t>
  </si>
  <si>
    <t>3F6F</t>
  </si>
  <si>
    <t>Use for:</t>
  </si>
  <si>
    <t>PNU 1109 VOLT_DCLINK</t>
  </si>
  <si>
    <t>Nominal Rated DC Voltage = PNU 59996, initial = 565 V DC</t>
  </si>
  <si>
    <t>Target Voltage =</t>
  </si>
  <si>
    <t xml:space="preserve">Resulting Voltage = </t>
  </si>
  <si>
    <t>Reference Temperature PNU 59995, initial = 100 °C</t>
  </si>
  <si>
    <t>Target Temperature [°C] → Command Value [hex]:</t>
  </si>
  <si>
    <t xml:space="preserve"> Command Value [hex → dez] → Resulting Temperature [C°]</t>
  </si>
  <si>
    <t>Temperature Calculation KeDrive PROFIdrive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</si>
</sst>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9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3" xfId="0" applyFont="1" applyBorder="1"/>
    <xf numFmtId="0" fontId="0" fillId="0" borderId="3" xfId="0" applyBorder="1"/>
    <xf numFmtId="0" fontId="3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/>
    <xf numFmtId="0" fontId="2" fillId="3" borderId="0" xfId="0" applyFont="1" applyFill="1" applyBorder="1"/>
    <xf numFmtId="0" fontId="0" fillId="3" borderId="0" xfId="0" applyFill="1"/>
    <xf numFmtId="0" fontId="2" fillId="3" borderId="0" xfId="0" applyFont="1" applyFill="1"/>
    <xf numFmtId="0" fontId="0" fillId="0" borderId="1" xfId="0" applyBorder="1" applyAlignment="1">
      <alignment horizontal="right"/>
    </xf>
    <xf numFmtId="0" fontId="2" fillId="2" borderId="2" xfId="0" applyFont="1" applyFill="1" applyBorder="1"/>
    <xf numFmtId="0" fontId="1" fillId="0" borderId="2" xfId="0" applyFont="1" applyBorder="1"/>
    <xf numFmtId="0" fontId="0" fillId="0" borderId="2" xfId="0" applyFont="1" applyBorder="1"/>
    <xf numFmtId="1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0" fillId="0" borderId="6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/>
    <xf numFmtId="0" fontId="0" fillId="0" borderId="7" xfId="0" applyBorder="1" applyAlignment="1">
      <alignment horizontal="right"/>
    </xf>
    <xf numFmtId="0" fontId="2" fillId="2" borderId="4" xfId="0" applyFont="1" applyFill="1" applyBorder="1"/>
    <xf numFmtId="0" fontId="1" fillId="0" borderId="4" xfId="0" applyFont="1" applyBorder="1"/>
    <xf numFmtId="0" fontId="0" fillId="0" borderId="4" xfId="0" applyFont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5" fillId="0" borderId="2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/>
    <xf numFmtId="0" fontId="0" fillId="2" borderId="0" xfId="0" applyFill="1" applyAlignment="1">
      <alignment horizontal="center"/>
    </xf>
    <xf numFmtId="0" fontId="5" fillId="0" borderId="0" xfId="0" applyFont="1"/>
    <xf numFmtId="0" fontId="6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7" fillId="0" borderId="0" xfId="0" applyFont="1" applyAlignment="1">
      <alignment horizontal="left"/>
    </xf>
    <xf numFmtId="0" fontId="0" fillId="3" borderId="0" xfId="0" applyFill="1" applyAlignment="1">
      <alignment horizontal="center"/>
    </xf>
    <xf numFmtId="0" fontId="0" fillId="0" borderId="2" xfId="0" quotePrefix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7" fillId="0" borderId="2" xfId="0" applyFont="1" applyBorder="1" applyAlignment="1">
      <alignment horizontal="left" vertical="center"/>
    </xf>
    <xf numFmtId="0" fontId="1" fillId="0" borderId="0" xfId="0" quotePrefix="1" applyFont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0" xfId="0" applyNumberFormat="1" applyFont="1" applyFill="1" applyAlignment="1">
      <alignment horizontal="right"/>
    </xf>
    <xf numFmtId="0" fontId="0" fillId="0" borderId="0" xfId="0" applyNumberFormat="1"/>
    <xf numFmtId="0" fontId="8" fillId="0" borderId="0" xfId="0" applyNumberFormat="1" applyFont="1" applyAlignment="1">
      <alignment horizontal="left"/>
    </xf>
    <xf numFmtId="0" fontId="2" fillId="0" borderId="0" xfId="0" applyFont="1" applyFill="1" applyBorder="1"/>
    <xf numFmtId="0" fontId="0" fillId="0" borderId="0" xfId="0" applyFill="1" applyBorder="1"/>
    <xf numFmtId="164" fontId="2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164" fontId="0" fillId="0" borderId="0" xfId="0" applyNumberFormat="1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1" fillId="0" borderId="0" xfId="0" applyFont="1" applyFill="1" applyBorder="1"/>
    <xf numFmtId="0" fontId="2" fillId="0" borderId="2" xfId="0" applyFont="1" applyFill="1" applyBorder="1"/>
    <xf numFmtId="0" fontId="0" fillId="0" borderId="0" xfId="0" applyFont="1" applyAlignment="1">
      <alignment horizontal="right"/>
    </xf>
    <xf numFmtId="0" fontId="2" fillId="3" borderId="0" xfId="0" applyNumberFormat="1" applyFont="1" applyFill="1"/>
    <xf numFmtId="0" fontId="0" fillId="3" borderId="0" xfId="0" applyNumberFormat="1" applyFill="1"/>
    <xf numFmtId="0" fontId="2" fillId="2" borderId="0" xfId="0" applyNumberFormat="1" applyFont="1" applyFill="1"/>
    <xf numFmtId="0" fontId="1" fillId="0" borderId="0" xfId="0" applyNumberFormat="1" applyFont="1" applyAlignment="1">
      <alignment horizontal="center"/>
    </xf>
    <xf numFmtId="0" fontId="0" fillId="0" borderId="0" xfId="0" quotePrefix="1" applyNumberFormat="1" applyAlignment="1">
      <alignment horizontal="center"/>
    </xf>
    <xf numFmtId="0" fontId="0" fillId="0" borderId="1" xfId="0" applyNumberFormat="1" applyBorder="1"/>
    <xf numFmtId="0" fontId="0" fillId="0" borderId="2" xfId="0" applyNumberFormat="1" applyBorder="1"/>
    <xf numFmtId="0" fontId="0" fillId="0" borderId="2" xfId="0" applyNumberFormat="1" applyBorder="1" applyAlignment="1">
      <alignment horizontal="center"/>
    </xf>
    <xf numFmtId="0" fontId="1" fillId="0" borderId="3" xfId="0" applyNumberFormat="1" applyFont="1" applyBorder="1"/>
    <xf numFmtId="0" fontId="0" fillId="0" borderId="2" xfId="0" quotePrefix="1" applyNumberForma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left"/>
    </xf>
    <xf numFmtId="0" fontId="6" fillId="0" borderId="2" xfId="0" applyNumberFormat="1" applyFont="1" applyBorder="1" applyAlignment="1">
      <alignment horizontal="left"/>
    </xf>
    <xf numFmtId="0" fontId="1" fillId="0" borderId="0" xfId="0" applyNumberFormat="1" applyFont="1"/>
    <xf numFmtId="0" fontId="0" fillId="0" borderId="0" xfId="0" applyNumberFormat="1" applyBorder="1"/>
    <xf numFmtId="0" fontId="2" fillId="2" borderId="0" xfId="0" applyNumberFormat="1" applyFont="1" applyFill="1" applyBorder="1"/>
    <xf numFmtId="0" fontId="1" fillId="0" borderId="0" xfId="0" applyNumberFormat="1" applyFont="1" applyBorder="1" applyAlignment="1">
      <alignment horizontal="center"/>
    </xf>
    <xf numFmtId="0" fontId="0" fillId="0" borderId="0" xfId="0" quotePrefix="1" applyNumberFormat="1" applyBorder="1" applyAlignment="1">
      <alignment horizontal="center"/>
    </xf>
    <xf numFmtId="0" fontId="0" fillId="0" borderId="0" xfId="0" applyFont="1" applyFill="1" applyBorder="1"/>
    <xf numFmtId="0" fontId="1" fillId="0" borderId="0" xfId="0" applyNumberFormat="1" applyFont="1" applyFill="1" applyBorder="1"/>
    <xf numFmtId="0" fontId="5" fillId="0" borderId="2" xfId="0" applyNumberFormat="1" applyFont="1" applyBorder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0" fontId="9" fillId="0" borderId="2" xfId="0" applyNumberFormat="1" applyFont="1" applyBorder="1" applyAlignment="1">
      <alignment horizontal="left" vertical="center"/>
    </xf>
    <xf numFmtId="0" fontId="0" fillId="0" borderId="1" xfId="0" applyFill="1" applyBorder="1" applyAlignment="1">
      <alignment horizontal="right"/>
    </xf>
    <xf numFmtId="0" fontId="1" fillId="0" borderId="2" xfId="0" applyFont="1" applyFill="1" applyBorder="1"/>
    <xf numFmtId="0" fontId="3" fillId="0" borderId="0" xfId="0" applyFont="1" applyFill="1"/>
    <xf numFmtId="0" fontId="1" fillId="0" borderId="2" xfId="0" applyNumberFormat="1" applyFont="1" applyBorder="1"/>
    <xf numFmtId="0" fontId="6" fillId="0" borderId="0" xfId="0" applyNumberFormat="1" applyFont="1"/>
    <xf numFmtId="0" fontId="6" fillId="0" borderId="2" xfId="0" applyNumberFormat="1" applyFont="1" applyBorder="1" applyAlignment="1">
      <alignment horizontal="right"/>
    </xf>
    <xf numFmtId="0" fontId="8" fillId="0" borderId="2" xfId="0" applyNumberFormat="1" applyFont="1" applyBorder="1" applyAlignment="1">
      <alignment horizontal="left"/>
    </xf>
    <xf numFmtId="0" fontId="0" fillId="0" borderId="2" xfId="0" quotePrefix="1" applyNumberFormat="1" applyBorder="1" applyAlignment="1">
      <alignment horizontal="center"/>
    </xf>
    <xf numFmtId="0" fontId="7" fillId="0" borderId="0" xfId="0" applyNumberFormat="1" applyFont="1"/>
    <xf numFmtId="0" fontId="7" fillId="0" borderId="2" xfId="0" applyNumberFormat="1" applyFon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rpm</a:t>
            </a:r>
            <a:r>
              <a:rPr lang="en-US" baseline="0"/>
              <a:t> / Command Value (dez) 16 Bit</a:t>
            </a:r>
            <a:endParaRPr lang="en-US"/>
          </a:p>
        </c:rich>
      </c:tx>
      <c:layout>
        <c:manualLayout>
          <c:xMode val="edge"/>
          <c:yMode val="edge"/>
          <c:x val="0.59865904300593442"/>
          <c:y val="1.83066317575375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2"/>
          <c:order val="1"/>
          <c:tx>
            <c:v>rpm</c:v>
          </c:tx>
          <c:spPr>
            <a:ln>
              <a:solidFill>
                <a:schemeClr val="accent6"/>
              </a:solidFill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Speed!$F$7:$F$8</c:f>
              <c:numCache>
                <c:formatCode>General</c:formatCode>
                <c:ptCount val="2"/>
                <c:pt idx="0">
                  <c:v>32767</c:v>
                </c:pt>
                <c:pt idx="1">
                  <c:v>-32768</c:v>
                </c:pt>
              </c:numCache>
            </c:numRef>
          </c:xVal>
          <c:yVal>
            <c:numRef>
              <c:f>Speed!$B$7:$B$8</c:f>
              <c:numCache>
                <c:formatCode>General</c:formatCode>
                <c:ptCount val="2"/>
                <c:pt idx="0">
                  <c:v>6000</c:v>
                </c:pt>
                <c:pt idx="1">
                  <c:v>-6000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58E4-4D28-98A4-C44312385C1A}"/>
            </c:ext>
          </c:extLst>
        </c:ser>
        <c:ser>
          <c:idx val="0"/>
          <c:order val="2"/>
          <c:tx>
            <c:v>TargetSpeed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Speed!$N$12</c:f>
              <c:numCache>
                <c:formatCode>General</c:formatCode>
                <c:ptCount val="1"/>
                <c:pt idx="0">
                  <c:v>546.13</c:v>
                </c:pt>
              </c:numCache>
            </c:numRef>
          </c:xVal>
          <c:yVal>
            <c:numRef>
              <c:f>Speed!$N$11</c:f>
              <c:numCache>
                <c:formatCode>General</c:formatCode>
                <c:ptCount val="1"/>
                <c:pt idx="0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58E4-4D28-98A4-C44312385C1A}"/>
            </c:ext>
          </c:extLst>
        </c:ser>
        <c:ser>
          <c:idx val="1"/>
          <c:order val="3"/>
          <c:tx>
            <c:v>TagetCommand</c:v>
          </c:tx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Lbls>
            <c:dLbl>
              <c:idx val="0"/>
              <c:layout>
                <c:manualLayout>
                  <c:x val="2.6346736086908074E-2"/>
                  <c:y val="2.44088423433834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9F-4264-8FF9-F8E157148B4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Speed!$N$15</c:f>
              <c:numCache>
                <c:formatCode>General</c:formatCode>
                <c:ptCount val="1"/>
                <c:pt idx="0">
                  <c:v>-15684</c:v>
                </c:pt>
              </c:numCache>
            </c:numRef>
          </c:xVal>
          <c:yVal>
            <c:numRef>
              <c:f>Speed!$N$16</c:f>
              <c:numCache>
                <c:formatCode>General</c:formatCode>
                <c:ptCount val="1"/>
                <c:pt idx="0">
                  <c:v>-2871.83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58E4-4D28-98A4-C44312385C1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28601727"/>
        <c:axId val="1523993231"/>
      </c:scatterChart>
      <c:scatterChart>
        <c:scatterStyle val="smoothMarker"/>
        <c:varyColors val="0"/>
        <c:ser>
          <c:idx val="3"/>
          <c:order val="0"/>
          <c:tx>
            <c:v>Percent</c:v>
          </c:tx>
          <c:spPr>
            <a:ln>
              <a:solidFill>
                <a:schemeClr val="bg2">
                  <a:lumMod val="75000"/>
                </a:schemeClr>
              </a:solidFill>
              <a:prstDash val="dash"/>
            </a:ln>
          </c:spPr>
          <c:dLbls>
            <c:dLbl>
              <c:idx val="0"/>
              <c:layout>
                <c:manualLayout>
                  <c:x val="-9.2213576304178257E-2"/>
                  <c:y val="-4.2715474100920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9F-4264-8FF9-F8E157148B49}"/>
                </c:ext>
              </c:extLst>
            </c:dLbl>
            <c:dLbl>
              <c:idx val="1"/>
              <c:layout>
                <c:manualLayout>
                  <c:x val="3.0110555527894923E-2"/>
                  <c:y val="3.9664368807997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9F-4264-8FF9-F8E157148B4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Speed!$F$7:$F$8</c:f>
              <c:numCache>
                <c:formatCode>General</c:formatCode>
                <c:ptCount val="2"/>
                <c:pt idx="0">
                  <c:v>32767</c:v>
                </c:pt>
                <c:pt idx="1">
                  <c:v>-32768</c:v>
                </c:pt>
              </c:numCache>
            </c:numRef>
          </c:xVal>
          <c:yVal>
            <c:numRef>
              <c:f>Speed!$A$7:$A$8</c:f>
              <c:numCache>
                <c:formatCode>0%</c:formatCode>
                <c:ptCount val="2"/>
                <c:pt idx="0">
                  <c:v>2</c:v>
                </c:pt>
                <c:pt idx="1">
                  <c:v>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58E4-4D28-98A4-C44312385C1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1255199"/>
        <c:axId val="1114282047"/>
      </c:scatterChart>
      <c:valAx>
        <c:axId val="1528601727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Command Value</a:t>
                </a:r>
                <a:r>
                  <a:rPr lang="de-DE" baseline="0"/>
                  <a:t> [dez]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27231604110209373"/>
              <c:y val="0.92919898155546798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993231"/>
        <c:crosses val="autoZero"/>
        <c:crossBetween val="midCat"/>
      </c:valAx>
      <c:valAx>
        <c:axId val="1523993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Speed</a:t>
                </a:r>
                <a:r>
                  <a:rPr lang="de-DE" baseline="0"/>
                  <a:t> [rpm]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9.4095486024671684E-3"/>
              <c:y val="0.3140541117127366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601727"/>
        <c:crosses val="autoZero"/>
        <c:crossBetween val="midCat"/>
      </c:valAx>
      <c:valAx>
        <c:axId val="1114282047"/>
        <c:scaling>
          <c:orientation val="minMax"/>
        </c:scaling>
        <c:delete val="0"/>
        <c:axPos val="r"/>
        <c:title>
          <c:overlay val="0"/>
        </c:title>
        <c:numFmt formatCode="0%" sourceLinked="1"/>
        <c:majorTickMark val="out"/>
        <c:minorTickMark val="none"/>
        <c:tickLblPos val="nextTo"/>
        <c:crossAx val="1341255199"/>
        <c:crosses val="max"/>
        <c:crossBetween val="midCat"/>
      </c:valAx>
      <c:valAx>
        <c:axId val="13412551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4282047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rpm</a:t>
            </a:r>
            <a:r>
              <a:rPr lang="en-US" baseline="0"/>
              <a:t> / Command Value (dez) 32 Bit</a:t>
            </a:r>
            <a:endParaRPr lang="en-US"/>
          </a:p>
        </c:rich>
      </c:tx>
      <c:layout>
        <c:manualLayout>
          <c:xMode val="edge"/>
          <c:yMode val="edge"/>
          <c:x val="0.59865904300593442"/>
          <c:y val="1.83066317575375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2"/>
          <c:order val="1"/>
          <c:tx>
            <c:v>rpm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Speed!$F$34:$F$35</c:f>
              <c:numCache>
                <c:formatCode>General</c:formatCode>
                <c:ptCount val="2"/>
                <c:pt idx="0">
                  <c:v>2147483647</c:v>
                </c:pt>
                <c:pt idx="1">
                  <c:v>-2147483648</c:v>
                </c:pt>
              </c:numCache>
            </c:numRef>
          </c:xVal>
          <c:yVal>
            <c:numRef>
              <c:f>Speed!$B$34:$B$35</c:f>
              <c:numCache>
                <c:formatCode>General</c:formatCode>
                <c:ptCount val="2"/>
                <c:pt idx="0">
                  <c:v>6000</c:v>
                </c:pt>
                <c:pt idx="1">
                  <c:v>-6000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CA-4562-93C2-46E34889C7D6}"/>
            </c:ext>
          </c:extLst>
        </c:ser>
        <c:ser>
          <c:idx val="0"/>
          <c:order val="2"/>
          <c:tx>
            <c:v>TargetSpeed</c:v>
          </c:tx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Lbls>
            <c:dLbl>
              <c:idx val="0"/>
              <c:layout>
                <c:manualLayout>
                  <c:x val="1.1220196353436117E-2"/>
                  <c:y val="2.1357737050460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CA-4562-93C2-46E34889C7D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Speed!$N$39</c:f>
              <c:numCache>
                <c:formatCode>General</c:formatCode>
                <c:ptCount val="1"/>
                <c:pt idx="0">
                  <c:v>107374182.40000001</c:v>
                </c:pt>
              </c:numCache>
            </c:numRef>
          </c:xVal>
          <c:yVal>
            <c:numRef>
              <c:f>Speed!$N$38</c:f>
              <c:numCache>
                <c:formatCode>General</c:formatCode>
                <c:ptCount val="1"/>
                <c:pt idx="0">
                  <c:v>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CA-4562-93C2-46E34889C7D6}"/>
            </c:ext>
          </c:extLst>
        </c:ser>
        <c:ser>
          <c:idx val="1"/>
          <c:order val="3"/>
          <c:tx>
            <c:v>TagetCommand</c:v>
          </c:tx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Lbls>
            <c:dLbl>
              <c:idx val="0"/>
              <c:layout>
                <c:manualLayout>
                  <c:x val="1.3090229079008883E-2"/>
                  <c:y val="6.1022105858458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CA-4562-93C2-46E34889C7D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Speed!$N$42</c:f>
              <c:numCache>
                <c:formatCode>General</c:formatCode>
                <c:ptCount val="1"/>
                <c:pt idx="0">
                  <c:v>214833766</c:v>
                </c:pt>
              </c:numCache>
            </c:numRef>
          </c:xVal>
          <c:yVal>
            <c:numRef>
              <c:f>Speed!$N$43</c:f>
              <c:numCache>
                <c:formatCode>General</c:formatCode>
                <c:ptCount val="1"/>
                <c:pt idx="0">
                  <c:v>600.24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6CA-4562-93C2-46E34889C7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28601727"/>
        <c:axId val="1523993231"/>
      </c:scatterChart>
      <c:scatterChart>
        <c:scatterStyle val="smoothMarker"/>
        <c:varyColors val="0"/>
        <c:ser>
          <c:idx val="3"/>
          <c:order val="0"/>
          <c:tx>
            <c:v>Percent</c:v>
          </c:tx>
          <c:spPr>
            <a:ln>
              <a:solidFill>
                <a:schemeClr val="accent3"/>
              </a:solidFill>
              <a:prstDash val="dash"/>
            </a:ln>
          </c:spP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A6CA-4562-93C2-46E34889C7D6}"/>
              </c:ext>
            </c:extLst>
          </c:dPt>
          <c:dLbls>
            <c:dLbl>
              <c:idx val="0"/>
              <c:layout>
                <c:manualLayout>
                  <c:x val="-8.2281439925198693E-2"/>
                  <c:y val="-2.74599476363063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CA-4562-93C2-46E34889C7D6}"/>
                </c:ext>
              </c:extLst>
            </c:dLbl>
            <c:dLbl>
              <c:idx val="1"/>
              <c:layout>
                <c:manualLayout>
                  <c:x val="2.0570359981299673E-2"/>
                  <c:y val="4.2715474100920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CA-4562-93C2-46E34889C7D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Speed!$F$34:$F$35</c:f>
              <c:numCache>
                <c:formatCode>General</c:formatCode>
                <c:ptCount val="2"/>
                <c:pt idx="0">
                  <c:v>2147483647</c:v>
                </c:pt>
                <c:pt idx="1">
                  <c:v>-2147483648</c:v>
                </c:pt>
              </c:numCache>
            </c:numRef>
          </c:xVal>
          <c:yVal>
            <c:numRef>
              <c:f>Speed!$A$34:$A$35</c:f>
              <c:numCache>
                <c:formatCode>0%</c:formatCode>
                <c:ptCount val="2"/>
                <c:pt idx="0">
                  <c:v>2</c:v>
                </c:pt>
                <c:pt idx="1">
                  <c:v>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6CA-4562-93C2-46E34889C7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1255199"/>
        <c:axId val="1114282047"/>
      </c:scatterChart>
      <c:valAx>
        <c:axId val="1528601727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Command Value</a:t>
                </a:r>
                <a:r>
                  <a:rPr lang="de-DE" baseline="0"/>
                  <a:t> [dez]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27231604110209373"/>
              <c:y val="0.92919898155546798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993231"/>
        <c:crosses val="autoZero"/>
        <c:crossBetween val="midCat"/>
      </c:valAx>
      <c:valAx>
        <c:axId val="1523993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Speed</a:t>
                </a:r>
                <a:r>
                  <a:rPr lang="de-DE" baseline="0"/>
                  <a:t> [rpm]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9.4095486024671684E-3"/>
              <c:y val="0.3140541117127366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601727"/>
        <c:crosses val="autoZero"/>
        <c:crossBetween val="midCat"/>
      </c:valAx>
      <c:valAx>
        <c:axId val="1114282047"/>
        <c:scaling>
          <c:orientation val="minMax"/>
        </c:scaling>
        <c:delete val="0"/>
        <c:axPos val="r"/>
        <c:title>
          <c:overlay val="0"/>
        </c:title>
        <c:numFmt formatCode="0%" sourceLinked="1"/>
        <c:majorTickMark val="out"/>
        <c:minorTickMark val="none"/>
        <c:tickLblPos val="nextTo"/>
        <c:crossAx val="1341255199"/>
        <c:crosses val="max"/>
        <c:crossBetween val="midCat"/>
      </c:valAx>
      <c:valAx>
        <c:axId val="13412551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4282047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rpm/s</a:t>
            </a:r>
            <a:r>
              <a:rPr lang="en-US" baseline="0"/>
              <a:t> / Command Value (dez) 16 Bit</a:t>
            </a:r>
            <a:endParaRPr lang="en-US"/>
          </a:p>
        </c:rich>
      </c:tx>
      <c:layout>
        <c:manualLayout>
          <c:xMode val="edge"/>
          <c:yMode val="edge"/>
          <c:x val="0.57361556644593481"/>
          <c:y val="1.83066317575375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2"/>
          <c:order val="1"/>
          <c:tx>
            <c:v>RampRange</c:v>
          </c:tx>
          <c:xVal>
            <c:numRef>
              <c:f>Ramp!$F$7:$F$9</c:f>
              <c:numCache>
                <c:formatCode>General</c:formatCode>
                <c:ptCount val="3"/>
                <c:pt idx="0">
                  <c:v>32767</c:v>
                </c:pt>
                <c:pt idx="1">
                  <c:v>16384</c:v>
                </c:pt>
                <c:pt idx="2">
                  <c:v>-32769</c:v>
                </c:pt>
              </c:numCache>
            </c:numRef>
          </c:xVal>
          <c:yVal>
            <c:numRef>
              <c:f>Ramp!$B$7:$B$9</c:f>
              <c:numCache>
                <c:formatCode>General</c:formatCode>
                <c:ptCount val="3"/>
                <c:pt idx="0">
                  <c:v>2000</c:v>
                </c:pt>
                <c:pt idx="1">
                  <c:v>1000</c:v>
                </c:pt>
                <c:pt idx="2">
                  <c:v>-2000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98-4D25-9CE6-ABFA1A39AB12}"/>
            </c:ext>
          </c:extLst>
        </c:ser>
        <c:ser>
          <c:idx val="0"/>
          <c:order val="2"/>
          <c:tx>
            <c:v>TargetRamp</c:v>
          </c:tx>
          <c:dLbls>
            <c:dLbl>
              <c:idx val="0"/>
              <c:layout>
                <c:manualLayout>
                  <c:x val="9.4095486024671684E-3"/>
                  <c:y val="1.830663175753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98-4D25-9CE6-ABFA1A39AB1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Ramp!$N$13</c:f>
              <c:numCache>
                <c:formatCode>General</c:formatCode>
                <c:ptCount val="1"/>
                <c:pt idx="0">
                  <c:v>8191.75</c:v>
                </c:pt>
              </c:numCache>
            </c:numRef>
          </c:xVal>
          <c:yVal>
            <c:numRef>
              <c:f>Ramp!$N$12</c:f>
              <c:numCache>
                <c:formatCode>General</c:formatCode>
                <c:ptCount val="1"/>
                <c:pt idx="0">
                  <c:v>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D98-44E4-B8A7-069D5B49AA85}"/>
            </c:ext>
          </c:extLst>
        </c:ser>
        <c:ser>
          <c:idx val="1"/>
          <c:order val="3"/>
          <c:tx>
            <c:v>TargetCommand</c:v>
          </c:tx>
          <c:dLbls>
            <c:dLbl>
              <c:idx val="0"/>
              <c:layout>
                <c:manualLayout>
                  <c:x val="-1.1291458322960619E-2"/>
                  <c:y val="-7.93287376159960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5798-4D25-9CE6-ABFA1A39AB1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Ramp!$N$16</c:f>
              <c:numCache>
                <c:formatCode>General</c:formatCode>
                <c:ptCount val="1"/>
                <c:pt idx="0">
                  <c:v>1254</c:v>
                </c:pt>
              </c:numCache>
            </c:numRef>
          </c:xVal>
          <c:yVal>
            <c:numRef>
              <c:f>Ramp!$N$17</c:f>
              <c:numCache>
                <c:formatCode>General</c:formatCode>
                <c:ptCount val="1"/>
                <c:pt idx="0">
                  <c:v>76.540000000000006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98-44E4-B8A7-069D5B49A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601727"/>
        <c:axId val="1523993231"/>
      </c:scatterChart>
      <c:scatterChart>
        <c:scatterStyle val="smoothMarker"/>
        <c:varyColors val="0"/>
        <c:ser>
          <c:idx val="3"/>
          <c:order val="0"/>
          <c:tx>
            <c:v>Percent</c:v>
          </c:tx>
          <c:dLbls>
            <c:dLbl>
              <c:idx val="0"/>
              <c:layout>
                <c:manualLayout>
                  <c:x val="-7.5276388819737351E-3"/>
                  <c:y val="1.830663175753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94-4795-9BE3-D39271BF16EB}"/>
                </c:ext>
              </c:extLst>
            </c:dLbl>
            <c:dLbl>
              <c:idx val="1"/>
              <c:layout>
                <c:manualLayout>
                  <c:x val="-6.7748749937763614E-2"/>
                  <c:y val="-4.57665793938438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94-4795-9BE3-D39271BF16E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Ramp!$A$7:$A$8</c:f>
              <c:numCache>
                <c:formatCode>0%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xVal>
          <c:yVal>
            <c:numRef>
              <c:f>Ramp!$B$7:$B$8</c:f>
              <c:numCache>
                <c:formatCode>General</c:formatCode>
                <c:ptCount val="2"/>
                <c:pt idx="0">
                  <c:v>2000</c:v>
                </c:pt>
                <c:pt idx="1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798-4D25-9CE6-ABFA1A39A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5632"/>
        <c:axId val="32116880"/>
      </c:scatterChart>
      <c:valAx>
        <c:axId val="1528601727"/>
        <c:scaling>
          <c:orientation val="minMax"/>
          <c:max val="32770"/>
          <c:min val="0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Command Value [dez]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993231"/>
        <c:crosses val="autoZero"/>
        <c:crossBetween val="midCat"/>
      </c:valAx>
      <c:valAx>
        <c:axId val="1523993231"/>
        <c:scaling>
          <c:orientation val="minMax"/>
          <c:max val="2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Acceleration/Deceleration [rpm/s]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601727"/>
        <c:crosses val="autoZero"/>
        <c:crossBetween val="midCat"/>
      </c:valAx>
      <c:valAx>
        <c:axId val="32116880"/>
        <c:scaling>
          <c:orientation val="minMax"/>
          <c:max val="2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crossAx val="32115632"/>
        <c:crosses val="max"/>
        <c:crossBetween val="midCat"/>
      </c:valAx>
      <c:valAx>
        <c:axId val="321156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2116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rpm/s</a:t>
            </a:r>
            <a:r>
              <a:rPr lang="en-US" baseline="0"/>
              <a:t> / Command Value (dez) 32 Bit</a:t>
            </a:r>
            <a:endParaRPr lang="en-US"/>
          </a:p>
        </c:rich>
      </c:tx>
      <c:layout>
        <c:manualLayout>
          <c:xMode val="edge"/>
          <c:yMode val="edge"/>
          <c:x val="0.57361556644593481"/>
          <c:y val="1.83066317575375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2"/>
          <c:order val="1"/>
          <c:tx>
            <c:v>RampRange</c:v>
          </c:tx>
          <c:dLbls>
            <c:dLbl>
              <c:idx val="1"/>
              <c:layout>
                <c:manualLayout>
                  <c:x val="1.1291458322960603E-2"/>
                  <c:y val="2.745994763630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D4-4C57-890E-79424A48B4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Ramp!$F$35:$F$37</c:f>
              <c:numCache>
                <c:formatCode>General</c:formatCode>
                <c:ptCount val="3"/>
                <c:pt idx="0">
                  <c:v>2147483647</c:v>
                </c:pt>
                <c:pt idx="1">
                  <c:v>1073741824</c:v>
                </c:pt>
                <c:pt idx="2">
                  <c:v>-2147483649</c:v>
                </c:pt>
              </c:numCache>
            </c:numRef>
          </c:xVal>
          <c:yVal>
            <c:numRef>
              <c:f>Ramp!$B$35:$B$37</c:f>
              <c:numCache>
                <c:formatCode>General</c:formatCode>
                <c:ptCount val="3"/>
                <c:pt idx="0">
                  <c:v>2000</c:v>
                </c:pt>
                <c:pt idx="1">
                  <c:v>1000</c:v>
                </c:pt>
                <c:pt idx="2">
                  <c:v>-2000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D4-4C57-890E-79424A48B4CD}"/>
            </c:ext>
          </c:extLst>
        </c:ser>
        <c:ser>
          <c:idx val="0"/>
          <c:order val="2"/>
          <c:tx>
            <c:v>TargetRamp</c:v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Ramp!$N$41</c:f>
              <c:numCache>
                <c:formatCode>General</c:formatCode>
                <c:ptCount val="1"/>
                <c:pt idx="0">
                  <c:v>1073741823.5</c:v>
                </c:pt>
              </c:numCache>
            </c:numRef>
          </c:xVal>
          <c:yVal>
            <c:numRef>
              <c:f>Ramp!$N$40</c:f>
              <c:numCache>
                <c:formatCode>General</c:formatCode>
                <c:ptCount val="1"/>
                <c:pt idx="0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D4-4C57-890E-79424A48B4CD}"/>
            </c:ext>
          </c:extLst>
        </c:ser>
        <c:ser>
          <c:idx val="1"/>
          <c:order val="3"/>
          <c:tx>
            <c:v>TargetCommand</c:v>
          </c:tx>
          <c:dLbls>
            <c:dLbl>
              <c:idx val="0"/>
              <c:layout>
                <c:manualLayout>
                  <c:x val="2.8228645807401524E-2"/>
                  <c:y val="-1.8306631757537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D4-4C57-890E-79424A48B4C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Ramp!$N$44</c:f>
              <c:numCache>
                <c:formatCode>General</c:formatCode>
                <c:ptCount val="1"/>
                <c:pt idx="0">
                  <c:v>53150000</c:v>
                </c:pt>
              </c:numCache>
            </c:numRef>
          </c:xVal>
          <c:yVal>
            <c:numRef>
              <c:f>Ramp!$N$45</c:f>
              <c:numCache>
                <c:formatCode>General</c:formatCode>
                <c:ptCount val="1"/>
                <c:pt idx="0">
                  <c:v>49.5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7D4-4C57-890E-79424A48B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601727"/>
        <c:axId val="1523993231"/>
      </c:scatterChart>
      <c:scatterChart>
        <c:scatterStyle val="smoothMarker"/>
        <c:varyColors val="0"/>
        <c:ser>
          <c:idx val="3"/>
          <c:order val="0"/>
          <c:tx>
            <c:v>Percent</c:v>
          </c:tx>
          <c:xVal>
            <c:numRef>
              <c:f>Ramp!$A$35:$A$36</c:f>
              <c:numCache>
                <c:formatCode>0%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xVal>
          <c:yVal>
            <c:numRef>
              <c:f>Ramp!$B$35:$B$36</c:f>
              <c:numCache>
                <c:formatCode>General</c:formatCode>
                <c:ptCount val="2"/>
                <c:pt idx="0">
                  <c:v>2000</c:v>
                </c:pt>
                <c:pt idx="1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7D4-4C57-890E-79424A48B4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115632"/>
        <c:axId val="32116880"/>
      </c:scatterChart>
      <c:valAx>
        <c:axId val="1528601727"/>
        <c:scaling>
          <c:orientation val="minMax"/>
          <c:max val="2147483647"/>
          <c:min val="0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Command Value [dez]</a:t>
                </a:r>
              </a:p>
            </c:rich>
          </c:tx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993231"/>
        <c:crosses val="autoZero"/>
        <c:crossBetween val="midCat"/>
      </c:valAx>
      <c:valAx>
        <c:axId val="1523993231"/>
        <c:scaling>
          <c:orientation val="minMax"/>
          <c:max val="2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Acceleration/Deceleration [rpm/s]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601727"/>
        <c:crosses val="autoZero"/>
        <c:crossBetween val="midCat"/>
      </c:valAx>
      <c:valAx>
        <c:axId val="32116880"/>
        <c:scaling>
          <c:orientation val="minMax"/>
          <c:max val="2"/>
          <c:min val="0"/>
        </c:scaling>
        <c:delete val="0"/>
        <c:axPos val="r"/>
        <c:numFmt formatCode="0%" sourceLinked="0"/>
        <c:majorTickMark val="out"/>
        <c:minorTickMark val="none"/>
        <c:tickLblPos val="nextTo"/>
        <c:crossAx val="32115632"/>
        <c:crosses val="max"/>
        <c:crossBetween val="midCat"/>
      </c:valAx>
      <c:valAx>
        <c:axId val="321156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2116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Torque [Nm]</a:t>
            </a:r>
            <a:r>
              <a:rPr lang="en-US" baseline="0"/>
              <a:t> / Command Value (dez) 16 Bit</a:t>
            </a:r>
            <a:endParaRPr lang="en-US"/>
          </a:p>
        </c:rich>
      </c:tx>
      <c:layout>
        <c:manualLayout>
          <c:xMode val="edge"/>
          <c:yMode val="edge"/>
          <c:x val="0.5249032692891995"/>
          <c:y val="2.106837364753866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1"/>
          <c:tx>
            <c:v>TorqueRange</c:v>
          </c:tx>
          <c:spPr>
            <a:ln>
              <a:solidFill>
                <a:schemeClr val="accent6"/>
              </a:solidFill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Torque!$F$7:$F$8</c:f>
              <c:numCache>
                <c:formatCode>General</c:formatCode>
                <c:ptCount val="2"/>
                <c:pt idx="0">
                  <c:v>0</c:v>
                </c:pt>
                <c:pt idx="1">
                  <c:v>16384</c:v>
                </c:pt>
              </c:numCache>
            </c:numRef>
          </c:xVal>
          <c:yVal>
            <c:numRef>
              <c:f>Torque!$B$7:$B$8</c:f>
              <c:numCache>
                <c:formatCode>General</c:formatCode>
                <c:ptCount val="2"/>
                <c:pt idx="0">
                  <c:v>0.86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38-4C5D-8173-B22E356ECEEB}"/>
            </c:ext>
          </c:extLst>
        </c:ser>
        <c:ser>
          <c:idx val="1"/>
          <c:order val="2"/>
          <c:tx>
            <c:v>TargetTorque</c:v>
          </c:tx>
          <c:xVal>
            <c:numRef>
              <c:f>Torque!$O$12</c:f>
              <c:numCache>
                <c:formatCode>General</c:formatCode>
                <c:ptCount val="1"/>
                <c:pt idx="0">
                  <c:v>8001.49</c:v>
                </c:pt>
              </c:numCache>
            </c:numRef>
          </c:xVal>
          <c:yVal>
            <c:numRef>
              <c:f>Torque!$O$11</c:f>
              <c:numCache>
                <c:formatCode>General</c:formatCode>
                <c:ptCount val="1"/>
                <c:pt idx="0">
                  <c:v>0.44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38-4C5D-8173-B22E356ECEEB}"/>
            </c:ext>
          </c:extLst>
        </c:ser>
        <c:ser>
          <c:idx val="2"/>
          <c:order val="3"/>
          <c:tx>
            <c:v>TargetCommand</c:v>
          </c:tx>
          <c:marker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xVal>
            <c:numRef>
              <c:f>Torque!$O$19</c:f>
              <c:numCache>
                <c:formatCode>General</c:formatCode>
                <c:ptCount val="1"/>
                <c:pt idx="0">
                  <c:v>14288.37</c:v>
                </c:pt>
              </c:numCache>
            </c:numRef>
          </c:xVal>
          <c:yVal>
            <c:numRef>
              <c:f>Torque!$O$20</c:f>
              <c:numCache>
                <c:formatCode>General</c:formatCode>
                <c:ptCount val="1"/>
                <c:pt idx="0">
                  <c:v>0.11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C38-4C5D-8173-B22E356EC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601727"/>
        <c:axId val="1523993231"/>
      </c:scatterChart>
      <c:scatterChart>
        <c:scatterStyle val="smoothMarker"/>
        <c:varyColors val="0"/>
        <c:ser>
          <c:idx val="3"/>
          <c:order val="0"/>
          <c:tx>
            <c:v>Percent</c:v>
          </c:tx>
          <c:xVal>
            <c:numRef>
              <c:f>Torque!$F$7:$F$8</c:f>
              <c:numCache>
                <c:formatCode>General</c:formatCode>
                <c:ptCount val="2"/>
                <c:pt idx="0">
                  <c:v>0</c:v>
                </c:pt>
                <c:pt idx="1">
                  <c:v>16384</c:v>
                </c:pt>
              </c:numCache>
            </c:numRef>
          </c:xVal>
          <c:yVal>
            <c:numRef>
              <c:f>Torque!$A$7:$A$8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00-48B5-ACDA-D1BA784F1820}"/>
            </c:ext>
          </c:extLst>
        </c:ser>
        <c:ser>
          <c:idx val="4"/>
          <c:order val="4"/>
          <c:tx>
            <c:v>TargetScale</c:v>
          </c:tx>
          <c:spPr>
            <a:ln>
              <a:solidFill>
                <a:srgbClr val="7030A0"/>
              </a:solidFill>
            </a:ln>
          </c:spPr>
          <c:marker>
            <c:spPr>
              <a:ln>
                <a:solidFill>
                  <a:srgbClr val="7030A0"/>
                </a:solidFill>
              </a:ln>
            </c:spPr>
          </c:marker>
          <c:xVal>
            <c:numRef>
              <c:f>Torque!$O$16</c:f>
              <c:numCache>
                <c:formatCode>General</c:formatCode>
                <c:ptCount val="1"/>
                <c:pt idx="0">
                  <c:v>14288.37</c:v>
                </c:pt>
              </c:numCache>
            </c:numRef>
          </c:xVal>
          <c:yVal>
            <c:numRef>
              <c:f>Torque!$R$15</c:f>
              <c:numCache>
                <c:formatCode>General</c:formatCode>
                <c:ptCount val="1"/>
                <c:pt idx="0">
                  <c:v>0.11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00-48B5-ACDA-D1BA784F1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764687"/>
        <c:axId val="369780079"/>
      </c:scatterChart>
      <c:valAx>
        <c:axId val="1528601727"/>
        <c:scaling>
          <c:orientation val="minMax"/>
          <c:min val="0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Command Value</a:t>
                </a:r>
                <a:r>
                  <a:rPr lang="de-DE" baseline="0"/>
                  <a:t> [dez]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1050849508995807"/>
              <c:y val="0.92919900525560806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993231"/>
        <c:crosses val="autoZero"/>
        <c:crossBetween val="midCat"/>
      </c:valAx>
      <c:valAx>
        <c:axId val="1523993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Torque [Nm</a:t>
                </a:r>
                <a:r>
                  <a:rPr lang="de-DE" baseline="0"/>
                  <a:t>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7.8600445276042832E-3"/>
              <c:y val="0.2997766210011337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601727"/>
        <c:crosses val="autoZero"/>
        <c:crossBetween val="midCat"/>
      </c:valAx>
      <c:valAx>
        <c:axId val="369780079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369764687"/>
        <c:crosses val="max"/>
        <c:crossBetween val="midCat"/>
      </c:valAx>
      <c:valAx>
        <c:axId val="3697646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9780079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Voltage</a:t>
            </a:r>
            <a:r>
              <a:rPr lang="en-US" baseline="0"/>
              <a:t> / Actual Value (dez) 16 bit</a:t>
            </a:r>
            <a:endParaRPr lang="en-US"/>
          </a:p>
        </c:rich>
      </c:tx>
      <c:layout>
        <c:manualLayout>
          <c:xMode val="edge"/>
          <c:yMode val="edge"/>
          <c:x val="0.68538939047010194"/>
          <c:y val="1.909306919082720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VoltageRange</c:v>
          </c:tx>
          <c:spPr>
            <a:ln>
              <a:solidFill>
                <a:schemeClr val="accent6"/>
              </a:solidFill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Voltage!$F$8:$F$9</c:f>
              <c:numCache>
                <c:formatCode>General</c:formatCode>
                <c:ptCount val="2"/>
                <c:pt idx="0">
                  <c:v>32767</c:v>
                </c:pt>
                <c:pt idx="1">
                  <c:v>-32768</c:v>
                </c:pt>
              </c:numCache>
            </c:numRef>
          </c:xVal>
          <c:yVal>
            <c:numRef>
              <c:f>Voltage!$B$8:$B$9</c:f>
              <c:numCache>
                <c:formatCode>General</c:formatCode>
                <c:ptCount val="2"/>
                <c:pt idx="0">
                  <c:v>1130</c:v>
                </c:pt>
                <c:pt idx="1">
                  <c:v>-1130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A0-4D14-8E3D-A5E84DD2C351}"/>
            </c:ext>
          </c:extLst>
        </c:ser>
        <c:ser>
          <c:idx val="1"/>
          <c:order val="1"/>
          <c:tx>
            <c:v>TargetVoltage</c:v>
          </c:tx>
          <c:xVal>
            <c:numRef>
              <c:f>Voltage!$O$12</c:f>
              <c:numCache>
                <c:formatCode>General</c:formatCode>
                <c:ptCount val="1"/>
                <c:pt idx="0">
                  <c:v>8699.4699999999993</c:v>
                </c:pt>
              </c:numCache>
            </c:numRef>
          </c:xVal>
          <c:yVal>
            <c:numRef>
              <c:f>Voltage!$O$11</c:f>
              <c:numCache>
                <c:formatCode>General</c:formatCode>
                <c:ptCount val="1"/>
                <c:pt idx="0">
                  <c:v>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A0-4D14-8E3D-A5E84DD2C351}"/>
            </c:ext>
          </c:extLst>
        </c:ser>
        <c:ser>
          <c:idx val="2"/>
          <c:order val="2"/>
          <c:tx>
            <c:v>TargetCommand</c:v>
          </c:tx>
          <c:marker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xVal>
            <c:numRef>
              <c:f>Voltage!$R$15</c:f>
              <c:numCache>
                <c:formatCode>General</c:formatCode>
                <c:ptCount val="1"/>
                <c:pt idx="0">
                  <c:v>16239</c:v>
                </c:pt>
              </c:numCache>
            </c:numRef>
          </c:xVal>
          <c:yVal>
            <c:numRef>
              <c:f>Voltage!$O$16</c:f>
              <c:numCache>
                <c:formatCode>General</c:formatCode>
                <c:ptCount val="1"/>
                <c:pt idx="0">
                  <c:v>560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3A0-4D14-8E3D-A5E84DD2C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601727"/>
        <c:axId val="1523993231"/>
      </c:scatterChart>
      <c:scatterChart>
        <c:scatterStyle val="smoothMarker"/>
        <c:varyColors val="0"/>
        <c:ser>
          <c:idx val="3"/>
          <c:order val="3"/>
          <c:tx>
            <c:v>Percent</c:v>
          </c:tx>
          <c:xVal>
            <c:numRef>
              <c:f>Voltage!$F$8:$F$9</c:f>
              <c:numCache>
                <c:formatCode>General</c:formatCode>
                <c:ptCount val="2"/>
                <c:pt idx="0">
                  <c:v>32767</c:v>
                </c:pt>
                <c:pt idx="1">
                  <c:v>-32768</c:v>
                </c:pt>
              </c:numCache>
            </c:numRef>
          </c:xVal>
          <c:yVal>
            <c:numRef>
              <c:f>Voltage!$A$8:$A$9</c:f>
              <c:numCache>
                <c:formatCode>0%</c:formatCode>
                <c:ptCount val="2"/>
                <c:pt idx="0">
                  <c:v>2</c:v>
                </c:pt>
                <c:pt idx="1">
                  <c:v>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80-459B-9CFC-C0D6BD80F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695839"/>
        <c:axId val="371691263"/>
      </c:scatterChart>
      <c:valAx>
        <c:axId val="1528601727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Command Value</a:t>
                </a:r>
                <a:r>
                  <a:rPr lang="de-DE" baseline="0"/>
                  <a:t> [dez]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0540867815229664"/>
              <c:y val="0.93527334958436936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993231"/>
        <c:crosses val="autoZero"/>
        <c:crossBetween val="midCat"/>
      </c:valAx>
      <c:valAx>
        <c:axId val="1523993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Voltage [V DC</a:t>
                </a:r>
                <a:r>
                  <a:rPr lang="de-DE" baseline="0"/>
                  <a:t>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9.4095403356100199E-3"/>
              <c:y val="0.2907620919593722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601727"/>
        <c:crosses val="autoZero"/>
        <c:crossBetween val="midCat"/>
      </c:valAx>
      <c:valAx>
        <c:axId val="371691263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371695839"/>
        <c:crosses val="max"/>
        <c:crossBetween val="midCat"/>
      </c:valAx>
      <c:valAx>
        <c:axId val="3716958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1691263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/ Command Value</a:t>
            </a:r>
            <a:r>
              <a:rPr lang="en-US" baseline="0"/>
              <a:t> (dez) 16 Bit</a:t>
            </a:r>
          </a:p>
        </c:rich>
      </c:tx>
      <c:layout>
        <c:manualLayout>
          <c:xMode val="edge"/>
          <c:yMode val="edge"/>
          <c:x val="0.566901174013415"/>
          <c:y val="1.822322590797462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TempRange</c:v>
          </c:tx>
          <c:spPr>
            <a:ln>
              <a:solidFill>
                <a:schemeClr val="accent6"/>
              </a:solidFill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Temperature!$F$8:$F$9</c:f>
              <c:numCache>
                <c:formatCode>General</c:formatCode>
                <c:ptCount val="2"/>
                <c:pt idx="0">
                  <c:v>32767</c:v>
                </c:pt>
                <c:pt idx="1">
                  <c:v>-32768</c:v>
                </c:pt>
              </c:numCache>
            </c:numRef>
          </c:xVal>
          <c:yVal>
            <c:numRef>
              <c:f>Temperature!$B$8:$B$9</c:f>
              <c:numCache>
                <c:formatCode>General</c:formatCode>
                <c:ptCount val="2"/>
                <c:pt idx="0">
                  <c:v>200</c:v>
                </c:pt>
                <c:pt idx="1">
                  <c:v>-200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61-4D24-946D-D0E1DD5171AF}"/>
            </c:ext>
          </c:extLst>
        </c:ser>
        <c:ser>
          <c:idx val="1"/>
          <c:order val="1"/>
          <c:tx>
            <c:v>TargetTemp</c:v>
          </c:tx>
          <c:xVal>
            <c:numRef>
              <c:f>Temperature!$O$12</c:f>
              <c:numCache>
                <c:formatCode>General</c:formatCode>
                <c:ptCount val="1"/>
                <c:pt idx="0">
                  <c:v>13107.2</c:v>
                </c:pt>
              </c:numCache>
            </c:numRef>
          </c:xVal>
          <c:yVal>
            <c:numRef>
              <c:f>Temperature!$O$11</c:f>
              <c:numCache>
                <c:formatCode>General</c:formatCode>
                <c:ptCount val="1"/>
                <c:pt idx="0">
                  <c:v>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61-4D24-946D-D0E1DD5171AF}"/>
            </c:ext>
          </c:extLst>
        </c:ser>
        <c:ser>
          <c:idx val="2"/>
          <c:order val="2"/>
          <c:tx>
            <c:v>TargetCommand</c:v>
          </c:tx>
          <c:marker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xVal>
            <c:numRef>
              <c:f>Temperature!$R$15</c:f>
              <c:numCache>
                <c:formatCode>General</c:formatCode>
                <c:ptCount val="1"/>
                <c:pt idx="0">
                  <c:v>4231</c:v>
                </c:pt>
              </c:numCache>
            </c:numRef>
          </c:xVal>
          <c:yVal>
            <c:numRef>
              <c:f>Temperature!$O$16</c:f>
              <c:numCache>
                <c:formatCode>General</c:formatCode>
                <c:ptCount val="1"/>
                <c:pt idx="0">
                  <c:v>25.82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161-4D24-946D-D0E1DD517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8601727"/>
        <c:axId val="1523993231"/>
      </c:scatterChart>
      <c:valAx>
        <c:axId val="1528601727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Command Value</a:t>
                </a:r>
                <a:r>
                  <a:rPr lang="de-DE" baseline="0"/>
                  <a:t> [dez]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4140653112805236"/>
              <c:y val="0.93831055390236517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993231"/>
        <c:crosses val="autoZero"/>
        <c:crossBetween val="midCat"/>
      </c:valAx>
      <c:valAx>
        <c:axId val="1523993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Torque [Nm</a:t>
                </a:r>
                <a:r>
                  <a:rPr lang="de-DE" baseline="0"/>
                  <a:t>]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9.4095684282437825E-3"/>
              <c:y val="0.3423945653653003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601727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61909</xdr:colOff>
      <xdr:row>8</xdr:row>
      <xdr:rowOff>47624</xdr:rowOff>
    </xdr:from>
    <xdr:to>
      <xdr:col>11</xdr:col>
      <xdr:colOff>561974</xdr:colOff>
      <xdr:row>29</xdr:row>
      <xdr:rowOff>171450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27D3EC6C-5EF2-436E-A40F-2C87443E8C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35</xdr:row>
      <xdr:rowOff>47625</xdr:rowOff>
    </xdr:from>
    <xdr:to>
      <xdr:col>11</xdr:col>
      <xdr:colOff>552449</xdr:colOff>
      <xdr:row>56</xdr:row>
      <xdr:rowOff>171451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A547820-9F1B-4422-A0A1-D7D603F8C8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61910</xdr:colOff>
      <xdr:row>9</xdr:row>
      <xdr:rowOff>47624</xdr:rowOff>
    </xdr:from>
    <xdr:to>
      <xdr:col>11</xdr:col>
      <xdr:colOff>523874</xdr:colOff>
      <xdr:row>30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65FC2AE-3FBF-4DF4-A841-CF386E5F0A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37</xdr:row>
      <xdr:rowOff>66675</xdr:rowOff>
    </xdr:from>
    <xdr:to>
      <xdr:col>11</xdr:col>
      <xdr:colOff>538164</xdr:colOff>
      <xdr:row>59</xdr:row>
      <xdr:rowOff>1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D7B6291F-9351-454E-B7C0-A89879469C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61910</xdr:colOff>
      <xdr:row>8</xdr:row>
      <xdr:rowOff>66675</xdr:rowOff>
    </xdr:from>
    <xdr:to>
      <xdr:col>11</xdr:col>
      <xdr:colOff>523874</xdr:colOff>
      <xdr:row>29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56FD773-D683-4867-B6E1-4A00D24CF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61910</xdr:colOff>
      <xdr:row>9</xdr:row>
      <xdr:rowOff>47623</xdr:rowOff>
    </xdr:from>
    <xdr:to>
      <xdr:col>11</xdr:col>
      <xdr:colOff>523874</xdr:colOff>
      <xdr:row>30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95D6354-0776-47E2-BC30-04CAA790BD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61910</xdr:colOff>
      <xdr:row>9</xdr:row>
      <xdr:rowOff>47623</xdr:rowOff>
    </xdr:from>
    <xdr:to>
      <xdr:col>11</xdr:col>
      <xdr:colOff>523874</xdr:colOff>
      <xdr:row>30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9BC3C5E-964B-4437-B0A8-292C1056E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3"/>
  <sheetViews>
    <sheetView workbookViewId="0">
      <selection activeCell="M4" sqref="M4"/>
    </sheetView>
  </sheetViews>
  <sheetFormatPr baseColWidth="10" defaultColWidth="9.140625" defaultRowHeight="15" x14ac:dyDescent="0.25"/>
  <cols>
    <col min="3" max="3" width="8.140625" customWidth="1"/>
    <col min="4" max="4" width="6.42578125" customWidth="1"/>
    <col min="5" max="5" width="4" customWidth="1"/>
    <col min="6" max="6" width="11.7109375" bestFit="1" customWidth="1"/>
    <col min="7" max="7" width="2.85546875" customWidth="1"/>
    <col min="8" max="8" width="14.42578125" customWidth="1"/>
    <col min="9" max="9" width="10.140625" bestFit="1" customWidth="1"/>
    <col min="13" max="13" width="26.28515625" customWidth="1"/>
    <col min="14" max="14" width="12" bestFit="1" customWidth="1"/>
    <col min="15" max="15" width="4.140625" customWidth="1"/>
    <col min="16" max="16" width="3.5703125" customWidth="1"/>
    <col min="17" max="17" width="13.140625" customWidth="1"/>
  </cols>
  <sheetData>
    <row r="1" spans="1:18" ht="18.75" x14ac:dyDescent="0.3">
      <c r="A1" s="10" t="s">
        <v>11</v>
      </c>
      <c r="H1" s="2" t="s">
        <v>14</v>
      </c>
      <c r="I1" s="22">
        <v>45013</v>
      </c>
      <c r="K1" s="23" t="s">
        <v>34</v>
      </c>
      <c r="M1" t="s">
        <v>83</v>
      </c>
    </row>
    <row r="2" spans="1:18" ht="15.75" thickBot="1" x14ac:dyDescent="0.3">
      <c r="K2" s="44" t="s">
        <v>33</v>
      </c>
    </row>
    <row r="3" spans="1:18" ht="15.75" thickBot="1" x14ac:dyDescent="0.3">
      <c r="B3" s="33" t="s">
        <v>0</v>
      </c>
      <c r="C3" s="34">
        <v>3000</v>
      </c>
      <c r="D3" s="35" t="s">
        <v>1</v>
      </c>
      <c r="E3" s="36" t="s">
        <v>43</v>
      </c>
      <c r="F3" s="26"/>
      <c r="G3" s="26"/>
      <c r="H3" s="27"/>
    </row>
    <row r="4" spans="1:18" ht="15.75" thickBot="1" x14ac:dyDescent="0.3">
      <c r="B4" s="18" t="s">
        <v>2</v>
      </c>
      <c r="C4" s="6">
        <f>C3*2</f>
        <v>6000</v>
      </c>
      <c r="D4" s="20" t="s">
        <v>1</v>
      </c>
      <c r="E4" s="21" t="s">
        <v>3</v>
      </c>
      <c r="F4" s="6"/>
      <c r="G4" s="6"/>
      <c r="H4" s="9"/>
    </row>
    <row r="5" spans="1:18" x14ac:dyDescent="0.25">
      <c r="B5" s="13"/>
      <c r="C5" s="11"/>
      <c r="D5" s="14"/>
      <c r="E5" s="32"/>
      <c r="F5" s="11"/>
      <c r="G5" s="11"/>
      <c r="H5" s="11"/>
    </row>
    <row r="6" spans="1:18" ht="18.75" x14ac:dyDescent="0.3">
      <c r="A6" s="10" t="s">
        <v>27</v>
      </c>
    </row>
    <row r="7" spans="1:18" x14ac:dyDescent="0.25">
      <c r="A7" s="4">
        <v>2</v>
      </c>
      <c r="B7">
        <f>C4</f>
        <v>6000</v>
      </c>
      <c r="C7" s="1" t="s">
        <v>1</v>
      </c>
      <c r="D7" s="61" t="s">
        <v>4</v>
      </c>
      <c r="E7" s="61"/>
      <c r="F7" s="31">
        <f>2^(16-1)-1</f>
        <v>32767</v>
      </c>
      <c r="G7" s="3" t="s">
        <v>6</v>
      </c>
      <c r="H7" s="2" t="str">
        <f>DEC2HEX(F7)</f>
        <v>7FFF</v>
      </c>
      <c r="I7" s="1" t="s">
        <v>5</v>
      </c>
      <c r="J7" s="1" t="s">
        <v>48</v>
      </c>
      <c r="K7" s="1"/>
    </row>
    <row r="8" spans="1:18" x14ac:dyDescent="0.25">
      <c r="A8" s="4">
        <v>-2</v>
      </c>
      <c r="B8">
        <f>B7*-1</f>
        <v>-6000</v>
      </c>
      <c r="C8" s="1" t="s">
        <v>1</v>
      </c>
      <c r="D8" s="61" t="s">
        <v>4</v>
      </c>
      <c r="E8" s="61"/>
      <c r="F8" s="31">
        <f>-1*2^(16-1)</f>
        <v>-32768</v>
      </c>
      <c r="G8" s="3" t="s">
        <v>6</v>
      </c>
      <c r="H8" s="2" t="str">
        <f>DEC2HEX(F8)</f>
        <v>FFFFFF8000</v>
      </c>
      <c r="I8" s="1" t="s">
        <v>5</v>
      </c>
      <c r="J8" s="1" t="s">
        <v>49</v>
      </c>
      <c r="K8" s="1"/>
    </row>
    <row r="10" spans="1:18" x14ac:dyDescent="0.25">
      <c r="M10" s="17" t="s">
        <v>61</v>
      </c>
      <c r="N10" s="16"/>
      <c r="O10" s="16"/>
      <c r="P10" s="16"/>
      <c r="Q10" s="16"/>
      <c r="R10" s="16"/>
    </row>
    <row r="11" spans="1:18" ht="15.75" thickBot="1" x14ac:dyDescent="0.3">
      <c r="M11" t="s">
        <v>23</v>
      </c>
      <c r="N11" s="37">
        <v>100</v>
      </c>
      <c r="O11" s="1" t="s">
        <v>1</v>
      </c>
      <c r="P11" s="24" t="s">
        <v>6</v>
      </c>
      <c r="Q11" s="40">
        <f>ROUND(N11*100/C3,2)</f>
        <v>3.33</v>
      </c>
      <c r="R11" t="s">
        <v>16</v>
      </c>
    </row>
    <row r="12" spans="1:18" ht="15.75" thickBot="1" x14ac:dyDescent="0.3">
      <c r="M12" s="5" t="s">
        <v>24</v>
      </c>
      <c r="N12" s="6">
        <f>ROUND(POWER(2,15)/(2*$C$3)*$N$11,2)</f>
        <v>546.13</v>
      </c>
      <c r="O12" s="52" t="s">
        <v>10</v>
      </c>
      <c r="P12" s="7" t="s">
        <v>6</v>
      </c>
      <c r="Q12" s="41" t="str">
        <f>DEC2HEX(N12)</f>
        <v>222</v>
      </c>
      <c r="R12" s="8" t="s">
        <v>5</v>
      </c>
    </row>
    <row r="13" spans="1:18" x14ac:dyDescent="0.25">
      <c r="M13" s="11"/>
      <c r="N13" s="11"/>
      <c r="O13" s="12"/>
      <c r="P13" s="12"/>
      <c r="Q13" s="14"/>
    </row>
    <row r="14" spans="1:18" x14ac:dyDescent="0.25">
      <c r="M14" s="15" t="s">
        <v>47</v>
      </c>
      <c r="N14" s="16"/>
      <c r="O14" s="16"/>
      <c r="P14" s="50"/>
      <c r="Q14" s="16"/>
      <c r="R14" s="16"/>
    </row>
    <row r="15" spans="1:18" ht="15.75" thickBot="1" x14ac:dyDescent="0.3">
      <c r="M15" t="s">
        <v>8</v>
      </c>
      <c r="N15" s="38">
        <v>-15684</v>
      </c>
      <c r="O15" s="1" t="s">
        <v>10</v>
      </c>
      <c r="P15" s="30" t="s">
        <v>6</v>
      </c>
      <c r="Q15" s="42" t="str">
        <f>DEC2HEX(N15)</f>
        <v>FFFFFFC2BC</v>
      </c>
      <c r="R15" s="1" t="s">
        <v>5</v>
      </c>
    </row>
    <row r="16" spans="1:18" ht="15.75" thickBot="1" x14ac:dyDescent="0.3">
      <c r="M16" s="5" t="s">
        <v>22</v>
      </c>
      <c r="N16" s="6">
        <f>ROUND(2*$C$3/POWER(2,15)*$N$15,2)</f>
        <v>-2871.83</v>
      </c>
      <c r="O16" s="20" t="s">
        <v>1</v>
      </c>
      <c r="P16" s="51" t="s">
        <v>6</v>
      </c>
      <c r="Q16" s="39">
        <f>ROUND(N16*100/C3,2)</f>
        <v>-95.73</v>
      </c>
      <c r="R16" s="9" t="s">
        <v>16</v>
      </c>
    </row>
    <row r="18" spans="13:13" x14ac:dyDescent="0.25">
      <c r="M18" s="43" t="s">
        <v>41</v>
      </c>
    </row>
    <row r="19" spans="13:13" x14ac:dyDescent="0.25">
      <c r="M19" s="1" t="s">
        <v>82</v>
      </c>
    </row>
    <row r="20" spans="13:13" x14ac:dyDescent="0.25">
      <c r="M20" s="1" t="s">
        <v>42</v>
      </c>
    </row>
    <row r="21" spans="13:13" x14ac:dyDescent="0.25">
      <c r="M21" s="1" t="s">
        <v>81</v>
      </c>
    </row>
    <row r="22" spans="13:13" x14ac:dyDescent="0.25">
      <c r="M22" s="1" t="s">
        <v>31</v>
      </c>
    </row>
    <row r="23" spans="13:13" x14ac:dyDescent="0.25">
      <c r="M23" s="1" t="s">
        <v>35</v>
      </c>
    </row>
    <row r="24" spans="13:13" x14ac:dyDescent="0.25">
      <c r="M24" s="1" t="s">
        <v>36</v>
      </c>
    </row>
    <row r="25" spans="13:13" x14ac:dyDescent="0.25">
      <c r="M25" s="1" t="s">
        <v>37</v>
      </c>
    </row>
    <row r="26" spans="13:13" x14ac:dyDescent="0.25">
      <c r="M26" s="1" t="s">
        <v>38</v>
      </c>
    </row>
    <row r="27" spans="13:13" x14ac:dyDescent="0.25">
      <c r="M27" s="1" t="s">
        <v>39</v>
      </c>
    </row>
    <row r="28" spans="13:13" x14ac:dyDescent="0.25">
      <c r="M28" s="1" t="s">
        <v>40</v>
      </c>
    </row>
    <row r="30" spans="13:13" x14ac:dyDescent="0.25">
      <c r="M30" t="s">
        <v>29</v>
      </c>
    </row>
    <row r="31" spans="13:13" x14ac:dyDescent="0.25">
      <c r="M31" t="s">
        <v>30</v>
      </c>
    </row>
    <row r="32" spans="13:13" x14ac:dyDescent="0.25">
      <c r="M32" t="s">
        <v>32</v>
      </c>
    </row>
    <row r="33" spans="1:18" ht="18.75" x14ac:dyDescent="0.3">
      <c r="A33" s="10" t="s">
        <v>28</v>
      </c>
      <c r="M33" t="s">
        <v>84</v>
      </c>
    </row>
    <row r="34" spans="1:18" x14ac:dyDescent="0.25">
      <c r="A34" s="4">
        <v>2</v>
      </c>
      <c r="B34">
        <f>B7</f>
        <v>6000</v>
      </c>
      <c r="C34" s="1" t="s">
        <v>1</v>
      </c>
      <c r="D34" s="61" t="s">
        <v>4</v>
      </c>
      <c r="E34" s="61"/>
      <c r="F34">
        <f>2^(32-1)-1</f>
        <v>2147483647</v>
      </c>
      <c r="G34" s="3" t="s">
        <v>6</v>
      </c>
      <c r="H34" s="2" t="str">
        <f>DEC2HEX(F34)</f>
        <v>7FFFFFFF</v>
      </c>
      <c r="I34" s="1" t="s">
        <v>5</v>
      </c>
      <c r="J34" s="1" t="s">
        <v>48</v>
      </c>
      <c r="K34" s="1"/>
    </row>
    <row r="35" spans="1:18" x14ac:dyDescent="0.25">
      <c r="A35" s="4">
        <v>-2</v>
      </c>
      <c r="B35">
        <f>B34*-1</f>
        <v>-6000</v>
      </c>
      <c r="C35" s="1" t="s">
        <v>1</v>
      </c>
      <c r="D35" s="61" t="s">
        <v>4</v>
      </c>
      <c r="E35" s="61"/>
      <c r="F35">
        <f>-1*2^(32-1)</f>
        <v>-2147483648</v>
      </c>
      <c r="G35" s="3" t="s">
        <v>6</v>
      </c>
      <c r="H35" s="2" t="str">
        <f>DEC2HEX(F35)</f>
        <v>FF80000000</v>
      </c>
      <c r="I35" s="1" t="s">
        <v>5</v>
      </c>
      <c r="J35" s="1" t="s">
        <v>49</v>
      </c>
      <c r="K35" s="1"/>
    </row>
    <row r="37" spans="1:18" x14ac:dyDescent="0.25">
      <c r="M37" s="17" t="s">
        <v>61</v>
      </c>
      <c r="N37" s="16"/>
      <c r="O37" s="16"/>
      <c r="P37" s="16"/>
      <c r="Q37" s="16"/>
      <c r="R37" s="16"/>
    </row>
    <row r="38" spans="1:18" ht="15.75" thickBot="1" x14ac:dyDescent="0.3">
      <c r="M38" t="s">
        <v>7</v>
      </c>
      <c r="N38" s="37">
        <v>300</v>
      </c>
      <c r="O38" s="1" t="s">
        <v>1</v>
      </c>
      <c r="Q38" s="40">
        <f>ROUND(N38*100/C3,2)</f>
        <v>10</v>
      </c>
      <c r="R38" t="s">
        <v>16</v>
      </c>
    </row>
    <row r="39" spans="1:18" ht="15.75" thickBot="1" x14ac:dyDescent="0.3">
      <c r="M39" s="5" t="s">
        <v>25</v>
      </c>
      <c r="N39" s="6">
        <f>ROUND(POWER(2,31)/(2*$C$3)*N38,2)</f>
        <v>107374182.40000001</v>
      </c>
      <c r="O39" s="52" t="s">
        <v>10</v>
      </c>
      <c r="P39" s="51" t="s">
        <v>6</v>
      </c>
      <c r="Q39" s="41" t="str">
        <f>DEC2HEX(N39)</f>
        <v>6666666</v>
      </c>
      <c r="R39" s="8" t="s">
        <v>5</v>
      </c>
    </row>
    <row r="40" spans="1:18" x14ac:dyDescent="0.25">
      <c r="M40" s="11"/>
      <c r="N40" s="11"/>
      <c r="O40" s="12"/>
      <c r="P40" s="13"/>
      <c r="Q40" s="14"/>
    </row>
    <row r="41" spans="1:18" x14ac:dyDescent="0.25">
      <c r="M41" s="15" t="s">
        <v>47</v>
      </c>
      <c r="N41" s="16"/>
      <c r="O41" s="16"/>
      <c r="P41" s="16"/>
      <c r="Q41" s="16"/>
      <c r="R41" s="16"/>
    </row>
    <row r="42" spans="1:18" ht="15.75" thickBot="1" x14ac:dyDescent="0.3">
      <c r="M42" t="s">
        <v>8</v>
      </c>
      <c r="N42" s="38">
        <v>214833766</v>
      </c>
      <c r="O42" s="1" t="s">
        <v>10</v>
      </c>
      <c r="P42" s="30" t="s">
        <v>6</v>
      </c>
      <c r="Q42" s="45" t="str">
        <f>DEC2HEX(N42)</f>
        <v>CCE1A66</v>
      </c>
      <c r="R42" s="1" t="s">
        <v>5</v>
      </c>
    </row>
    <row r="43" spans="1:18" ht="15.75" thickBot="1" x14ac:dyDescent="0.3">
      <c r="M43" s="5" t="s">
        <v>26</v>
      </c>
      <c r="N43" s="6">
        <f>ROUND(2*$C$3/POWER(2,31)*N42,2)</f>
        <v>600.24</v>
      </c>
      <c r="O43" s="20" t="s">
        <v>1</v>
      </c>
      <c r="P43" s="7" t="s">
        <v>6</v>
      </c>
      <c r="Q43" s="39">
        <f>ROUND(N43*100/C3,2)</f>
        <v>20.010000000000002</v>
      </c>
      <c r="R43" s="9" t="s">
        <v>16</v>
      </c>
    </row>
  </sheetData>
  <mergeCells count="4">
    <mergeCell ref="D7:E7"/>
    <mergeCell ref="D8:E8"/>
    <mergeCell ref="D34:E34"/>
    <mergeCell ref="D35:E35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82D761D9-7BC5-432A-8734-C20FC3CA59F2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Speed!B7:B7</xm:f>
              <xm:sqref>F7</xm:sqref>
            </x14:sparkline>
            <x14:sparkline>
              <xm:f>Speed!B8:B8</xm:f>
              <xm:sqref>F8</xm:sqref>
            </x14:sparkline>
          </x14:sparklines>
        </x14:sparklineGroup>
        <x14:sparklineGroup displayEmptyCellsAs="gap" xr2:uid="{451ABD7C-6C22-41D2-8801-291261BEC9D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Speed!B34:B34</xm:f>
              <xm:sqref>F34</xm:sqref>
            </x14:sparkline>
            <x14:sparkline>
              <xm:f>Speed!B35:B35</xm:f>
              <xm:sqref>F35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25DB9-1DBD-442B-A886-D8534E79C6D6}">
  <dimension ref="A1:R45"/>
  <sheetViews>
    <sheetView workbookViewId="0">
      <selection activeCell="O1" sqref="O1"/>
    </sheetView>
  </sheetViews>
  <sheetFormatPr baseColWidth="10" defaultColWidth="9.140625" defaultRowHeight="15" x14ac:dyDescent="0.25"/>
  <cols>
    <col min="3" max="3" width="8.140625" customWidth="1"/>
    <col min="4" max="4" width="6.42578125" customWidth="1"/>
    <col min="5" max="5" width="4" customWidth="1"/>
    <col min="6" max="6" width="11.7109375" bestFit="1" customWidth="1"/>
    <col min="7" max="7" width="2.85546875" customWidth="1"/>
    <col min="8" max="8" width="14.42578125" customWidth="1"/>
    <col min="9" max="9" width="10.140625" bestFit="1" customWidth="1"/>
    <col min="13" max="13" width="18.5703125" customWidth="1"/>
    <col min="14" max="14" width="12" bestFit="1" customWidth="1"/>
    <col min="15" max="15" width="6.7109375" customWidth="1"/>
    <col min="16" max="16" width="3.5703125" customWidth="1"/>
    <col min="17" max="17" width="12" customWidth="1"/>
  </cols>
  <sheetData>
    <row r="1" spans="1:18" ht="18.75" x14ac:dyDescent="0.3">
      <c r="A1" s="10" t="s">
        <v>52</v>
      </c>
      <c r="H1" s="2" t="s">
        <v>14</v>
      </c>
      <c r="I1" s="22">
        <v>45013</v>
      </c>
      <c r="M1" s="23" t="s">
        <v>34</v>
      </c>
      <c r="O1" t="s">
        <v>83</v>
      </c>
    </row>
    <row r="2" spans="1:18" s="47" customFormat="1" ht="15.75" thickBot="1" x14ac:dyDescent="0.3">
      <c r="K2" s="48"/>
      <c r="M2" s="44" t="s">
        <v>33</v>
      </c>
    </row>
    <row r="3" spans="1:18" ht="15.75" thickBot="1" x14ac:dyDescent="0.3">
      <c r="B3" s="18" t="s">
        <v>0</v>
      </c>
      <c r="C3" s="19">
        <v>1000</v>
      </c>
      <c r="D3" s="20" t="s">
        <v>12</v>
      </c>
      <c r="E3" s="21" t="s">
        <v>44</v>
      </c>
      <c r="F3" s="9"/>
      <c r="G3" s="6"/>
      <c r="H3" s="6"/>
      <c r="I3" s="27"/>
      <c r="J3" s="26"/>
      <c r="K3" s="27"/>
    </row>
    <row r="4" spans="1:18" ht="15.75" thickBot="1" x14ac:dyDescent="0.3">
      <c r="B4" s="18" t="s">
        <v>2</v>
      </c>
      <c r="C4" s="6">
        <f>C3*2</f>
        <v>2000</v>
      </c>
      <c r="D4" s="20" t="s">
        <v>12</v>
      </c>
      <c r="E4" s="21" t="s">
        <v>13</v>
      </c>
      <c r="F4" s="6"/>
      <c r="G4" s="6"/>
      <c r="H4" s="6"/>
      <c r="I4" s="5"/>
      <c r="J4" s="6"/>
      <c r="K4" s="9"/>
    </row>
    <row r="5" spans="1:18" x14ac:dyDescent="0.25">
      <c r="B5" s="13"/>
      <c r="C5" s="11"/>
      <c r="D5" s="14"/>
      <c r="E5" s="32"/>
      <c r="F5" s="11"/>
      <c r="G5" s="11"/>
      <c r="H5" s="11"/>
      <c r="I5" s="11"/>
    </row>
    <row r="6" spans="1:18" ht="18.75" x14ac:dyDescent="0.3">
      <c r="A6" s="10" t="s">
        <v>45</v>
      </c>
    </row>
    <row r="7" spans="1:18" x14ac:dyDescent="0.25">
      <c r="A7" s="4">
        <v>2</v>
      </c>
      <c r="B7">
        <f>C4</f>
        <v>2000</v>
      </c>
      <c r="C7" s="1" t="s">
        <v>12</v>
      </c>
      <c r="D7" s="61" t="s">
        <v>4</v>
      </c>
      <c r="E7" s="61"/>
      <c r="F7" s="31">
        <f>2^(16-1)-1</f>
        <v>32767</v>
      </c>
      <c r="G7" s="3" t="s">
        <v>6</v>
      </c>
      <c r="H7" s="2" t="str">
        <f>DEC2HEX(F7)</f>
        <v>7FFF</v>
      </c>
      <c r="I7" s="1" t="s">
        <v>5</v>
      </c>
      <c r="J7" s="1" t="s">
        <v>48</v>
      </c>
      <c r="K7" s="1"/>
    </row>
    <row r="8" spans="1:18" x14ac:dyDescent="0.25">
      <c r="A8" s="4">
        <v>1</v>
      </c>
      <c r="B8">
        <f>B7/2</f>
        <v>1000</v>
      </c>
      <c r="C8" s="1" t="s">
        <v>12</v>
      </c>
      <c r="D8" s="61" t="s">
        <v>4</v>
      </c>
      <c r="E8" s="61"/>
      <c r="F8" s="31">
        <f>2^(15-1)</f>
        <v>16384</v>
      </c>
      <c r="G8" s="24" t="s">
        <v>6</v>
      </c>
      <c r="H8" s="2" t="str">
        <f>DEC2HEX(F8)</f>
        <v>4000</v>
      </c>
      <c r="I8" s="1" t="s">
        <v>5</v>
      </c>
      <c r="J8" s="54">
        <v>0</v>
      </c>
      <c r="K8" s="1"/>
    </row>
    <row r="9" spans="1:18" x14ac:dyDescent="0.25">
      <c r="A9" s="4">
        <v>-2</v>
      </c>
      <c r="B9">
        <f>B7*-1</f>
        <v>-2000</v>
      </c>
      <c r="C9" s="1" t="s">
        <v>12</v>
      </c>
      <c r="D9" s="61" t="s">
        <v>4</v>
      </c>
      <c r="E9" s="61"/>
      <c r="F9" s="31">
        <f>-1*2^(16-1)-1</f>
        <v>-32769</v>
      </c>
      <c r="G9" s="3" t="s">
        <v>6</v>
      </c>
      <c r="H9" s="2" t="str">
        <f>DEC2HEX(F9)</f>
        <v>FFFFFF7FFF</v>
      </c>
      <c r="I9" s="1" t="s">
        <v>5</v>
      </c>
      <c r="J9" s="1" t="s">
        <v>49</v>
      </c>
      <c r="K9" s="1"/>
    </row>
    <row r="11" spans="1:18" x14ac:dyDescent="0.25">
      <c r="M11" s="17" t="s">
        <v>62</v>
      </c>
      <c r="N11" s="16"/>
      <c r="O11" s="16"/>
      <c r="P11" s="16"/>
      <c r="Q11" s="16"/>
      <c r="R11" s="16"/>
    </row>
    <row r="12" spans="1:18" ht="15.75" thickBot="1" x14ac:dyDescent="0.3">
      <c r="M12" t="s">
        <v>51</v>
      </c>
      <c r="N12" s="37">
        <v>500</v>
      </c>
      <c r="O12" s="23" t="s">
        <v>12</v>
      </c>
      <c r="P12" s="23" t="s">
        <v>6</v>
      </c>
      <c r="Q12" s="49">
        <f>N12*100/C3</f>
        <v>50</v>
      </c>
      <c r="R12" t="s">
        <v>16</v>
      </c>
    </row>
    <row r="13" spans="1:18" ht="15.75" thickBot="1" x14ac:dyDescent="0.3">
      <c r="M13" s="5" t="s">
        <v>8</v>
      </c>
      <c r="N13" s="6">
        <f>ROUND(ABS(F7)/ABS($C$4)*N12,2)</f>
        <v>8191.75</v>
      </c>
      <c r="O13" s="7" t="s">
        <v>10</v>
      </c>
      <c r="P13" s="7" t="s">
        <v>6</v>
      </c>
      <c r="Q13" s="53" t="str">
        <f>DEC2HEX(N13)</f>
        <v>1FFF</v>
      </c>
      <c r="R13" s="8" t="s">
        <v>5</v>
      </c>
    </row>
    <row r="14" spans="1:18" x14ac:dyDescent="0.25">
      <c r="M14" s="11"/>
      <c r="N14" s="11"/>
      <c r="O14" s="12"/>
      <c r="P14" s="12"/>
      <c r="Q14" s="13"/>
      <c r="R14" s="14"/>
    </row>
    <row r="15" spans="1:18" x14ac:dyDescent="0.25">
      <c r="M15" s="15" t="s">
        <v>46</v>
      </c>
      <c r="N15" s="16"/>
      <c r="O15" s="16"/>
      <c r="P15" s="16"/>
      <c r="Q15" s="16"/>
      <c r="R15" s="16"/>
    </row>
    <row r="16" spans="1:18" ht="15.75" thickBot="1" x14ac:dyDescent="0.3">
      <c r="M16" t="s">
        <v>8</v>
      </c>
      <c r="N16" s="38">
        <v>1254</v>
      </c>
      <c r="O16" s="23" t="s">
        <v>10</v>
      </c>
      <c r="P16" s="30" t="s">
        <v>6</v>
      </c>
      <c r="Q16" s="40" t="str">
        <f>DEC2HEX(N16)</f>
        <v>4E6</v>
      </c>
      <c r="R16" s="1" t="s">
        <v>5</v>
      </c>
    </row>
    <row r="17" spans="13:18" ht="15.75" thickBot="1" x14ac:dyDescent="0.3">
      <c r="M17" s="5" t="s">
        <v>50</v>
      </c>
      <c r="N17" s="6">
        <f>ROUND($C$4/ABS(F7)*N16,2)</f>
        <v>76.540000000000006</v>
      </c>
      <c r="O17" s="20" t="s">
        <v>12</v>
      </c>
      <c r="P17" s="7" t="s">
        <v>6</v>
      </c>
      <c r="Q17" s="41">
        <f>N17*100/$C$3</f>
        <v>7.6540000000000008</v>
      </c>
      <c r="R17" s="9" t="s">
        <v>16</v>
      </c>
    </row>
    <row r="19" spans="13:18" x14ac:dyDescent="0.25">
      <c r="M19" s="43" t="s">
        <v>41</v>
      </c>
    </row>
    <row r="20" spans="13:18" x14ac:dyDescent="0.25">
      <c r="M20" s="1" t="s">
        <v>54</v>
      </c>
    </row>
    <row r="21" spans="13:18" x14ac:dyDescent="0.25">
      <c r="M21" s="1" t="s">
        <v>55</v>
      </c>
    </row>
    <row r="22" spans="13:18" x14ac:dyDescent="0.25">
      <c r="M22" s="1" t="s">
        <v>56</v>
      </c>
    </row>
    <row r="23" spans="13:18" x14ac:dyDescent="0.25">
      <c r="M23" s="1" t="s">
        <v>57</v>
      </c>
    </row>
    <row r="24" spans="13:18" x14ac:dyDescent="0.25">
      <c r="M24" s="1" t="s">
        <v>86</v>
      </c>
    </row>
    <row r="26" spans="13:18" x14ac:dyDescent="0.25">
      <c r="M26" t="s">
        <v>85</v>
      </c>
    </row>
    <row r="34" spans="1:18" ht="18.75" x14ac:dyDescent="0.3">
      <c r="A34" s="10" t="s">
        <v>53</v>
      </c>
    </row>
    <row r="35" spans="1:18" x14ac:dyDescent="0.25">
      <c r="A35" s="4">
        <v>2</v>
      </c>
      <c r="B35">
        <f>B7</f>
        <v>2000</v>
      </c>
      <c r="C35" s="1" t="s">
        <v>12</v>
      </c>
      <c r="D35" s="61" t="s">
        <v>4</v>
      </c>
      <c r="E35" s="61"/>
      <c r="F35">
        <f>2^(32-1)-1</f>
        <v>2147483647</v>
      </c>
      <c r="G35" s="3" t="s">
        <v>6</v>
      </c>
      <c r="H35" s="2" t="str">
        <f>DEC2HEX(F35)</f>
        <v>7FFFFFFF</v>
      </c>
      <c r="I35" s="1" t="s">
        <v>5</v>
      </c>
      <c r="J35" s="1" t="s">
        <v>48</v>
      </c>
      <c r="K35" s="1"/>
    </row>
    <row r="36" spans="1:18" x14ac:dyDescent="0.25">
      <c r="A36" s="4">
        <v>1</v>
      </c>
      <c r="B36">
        <f>B35/2</f>
        <v>1000</v>
      </c>
      <c r="C36" s="1" t="s">
        <v>12</v>
      </c>
      <c r="D36" s="61" t="s">
        <v>4</v>
      </c>
      <c r="E36" s="61"/>
      <c r="F36">
        <f>2^(30)</f>
        <v>1073741824</v>
      </c>
      <c r="G36" s="30" t="s">
        <v>6</v>
      </c>
      <c r="H36" s="2" t="str">
        <f>DEC2HEX(F36)</f>
        <v>40000000</v>
      </c>
      <c r="I36" s="1" t="s">
        <v>5</v>
      </c>
      <c r="J36" s="54">
        <v>0</v>
      </c>
      <c r="K36" s="1"/>
    </row>
    <row r="37" spans="1:18" x14ac:dyDescent="0.25">
      <c r="A37" s="4">
        <v>-2</v>
      </c>
      <c r="B37">
        <f>B35*-1</f>
        <v>-2000</v>
      </c>
      <c r="C37" s="1" t="s">
        <v>12</v>
      </c>
      <c r="D37" s="61" t="s">
        <v>4</v>
      </c>
      <c r="E37" s="61"/>
      <c r="F37">
        <f>-1*2^(32-1)-1</f>
        <v>-2147483649</v>
      </c>
      <c r="G37" s="3" t="s">
        <v>6</v>
      </c>
      <c r="H37" s="2" t="str">
        <f>DEC2HEX(F37)</f>
        <v>FF7FFFFFFF</v>
      </c>
      <c r="I37" s="1" t="s">
        <v>5</v>
      </c>
      <c r="J37" s="1" t="s">
        <v>49</v>
      </c>
      <c r="K37" s="1"/>
    </row>
    <row r="39" spans="1:18" x14ac:dyDescent="0.25">
      <c r="M39" s="17" t="s">
        <v>62</v>
      </c>
      <c r="N39" s="16"/>
      <c r="O39" s="16"/>
      <c r="P39" s="16"/>
      <c r="Q39" s="16"/>
      <c r="R39" s="16"/>
    </row>
    <row r="40" spans="1:18" ht="15.75" thickBot="1" x14ac:dyDescent="0.3">
      <c r="M40" t="s">
        <v>51</v>
      </c>
      <c r="N40" s="37">
        <v>1000</v>
      </c>
      <c r="O40" s="57" t="s">
        <v>12</v>
      </c>
      <c r="P40" s="56" t="s">
        <v>6</v>
      </c>
      <c r="Q40" s="49">
        <f>ROUND(N40*100/B36,2)</f>
        <v>100</v>
      </c>
      <c r="R40" t="s">
        <v>16</v>
      </c>
    </row>
    <row r="41" spans="1:18" ht="15.75" thickBot="1" x14ac:dyDescent="0.3">
      <c r="M41" s="5" t="s">
        <v>8</v>
      </c>
      <c r="N41" s="6">
        <f>ROUND(ABS(F35)/ABS($C$4)*N40,2)</f>
        <v>1073741823.5</v>
      </c>
      <c r="O41" s="60" t="s">
        <v>10</v>
      </c>
      <c r="P41" s="7" t="s">
        <v>6</v>
      </c>
      <c r="Q41" s="55" t="str">
        <f>DEC2HEX(N41)</f>
        <v>3FFFFFFF</v>
      </c>
      <c r="R41" s="8" t="s">
        <v>5</v>
      </c>
    </row>
    <row r="42" spans="1:18" x14ac:dyDescent="0.25">
      <c r="M42" s="11"/>
      <c r="N42" s="11"/>
      <c r="O42" s="12"/>
      <c r="P42" s="12"/>
      <c r="Q42" s="13"/>
      <c r="R42" s="14"/>
    </row>
    <row r="43" spans="1:18" x14ac:dyDescent="0.25">
      <c r="M43" s="15" t="s">
        <v>46</v>
      </c>
      <c r="N43" s="16"/>
      <c r="O43" s="16"/>
      <c r="P43" s="16"/>
      <c r="Q43" s="16"/>
      <c r="R43" s="16"/>
    </row>
    <row r="44" spans="1:18" ht="15.75" thickBot="1" x14ac:dyDescent="0.3">
      <c r="M44" t="s">
        <v>8</v>
      </c>
      <c r="N44" s="38">
        <v>53150000</v>
      </c>
      <c r="O44" s="57" t="s">
        <v>10</v>
      </c>
      <c r="P44" s="59" t="s">
        <v>6</v>
      </c>
      <c r="Q44" s="46" t="str">
        <f>DEC2HEX(N44)</f>
        <v>32B0130</v>
      </c>
      <c r="R44" s="1" t="s">
        <v>5</v>
      </c>
    </row>
    <row r="45" spans="1:18" ht="15.75" thickBot="1" x14ac:dyDescent="0.3">
      <c r="M45" s="5" t="s">
        <v>9</v>
      </c>
      <c r="N45" s="6">
        <f>ROUND($C$4/ABS(F35)*N44,2)</f>
        <v>49.5</v>
      </c>
      <c r="O45" s="58" t="s">
        <v>12</v>
      </c>
      <c r="P45" s="60" t="s">
        <v>6</v>
      </c>
      <c r="Q45" s="41">
        <f>ROUND(N45*100/B36,2)</f>
        <v>4.95</v>
      </c>
      <c r="R45" s="9" t="s">
        <v>16</v>
      </c>
    </row>
  </sheetData>
  <mergeCells count="6">
    <mergeCell ref="D37:E37"/>
    <mergeCell ref="D36:E36"/>
    <mergeCell ref="D7:E7"/>
    <mergeCell ref="D9:E9"/>
    <mergeCell ref="D35:E35"/>
    <mergeCell ref="D8:E8"/>
  </mergeCell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91C3CF3-5189-47FF-9F51-658703115BF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Ramp!B7:B7</xm:f>
              <xm:sqref>F7</xm:sqref>
            </x14:sparkline>
            <x14:sparkline>
              <xm:f>Ramp!B8:B8</xm:f>
              <xm:sqref>F8</xm:sqref>
            </x14:sparkline>
            <x14:sparkline>
              <xm:f>Ramp!B9:B9</xm:f>
              <xm:sqref>F9</xm:sqref>
            </x14:sparkline>
          </x14:sparklines>
        </x14:sparklineGroup>
        <x14:sparklineGroup displayEmptyCellsAs="gap" xr2:uid="{EDEE2E13-81DF-4B82-B240-08EDA2FF8BF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Ramp!B37:B37</xm:f>
              <xm:sqref>F37</xm:sqref>
            </x14:sparkline>
          </x14:sparklines>
        </x14:sparklineGroup>
        <x14:sparklineGroup displayEmptyCellsAs="gap" xr2:uid="{30A0E247-2F71-45D2-8AB8-E1F73B34E1C7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Ramp!B35:B35</xm:f>
              <xm:sqref>F35</xm:sqref>
            </x14:sparkline>
          </x14:sparklines>
        </x14:sparklineGroup>
        <x14:sparklineGroup displayEmptyCellsAs="gap" xr2:uid="{B28A1436-916A-4735-86D8-76D5252F4DB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Ramp!B36:B36</xm:f>
              <xm:sqref>F36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79628-A989-4690-B81D-8A1C32BEAF58}">
  <dimension ref="A1:T37"/>
  <sheetViews>
    <sheetView workbookViewId="0">
      <selection activeCell="N1" sqref="N1"/>
    </sheetView>
  </sheetViews>
  <sheetFormatPr baseColWidth="10" defaultRowHeight="15" x14ac:dyDescent="0.25"/>
  <cols>
    <col min="1" max="2" width="9.140625" customWidth="1"/>
    <col min="3" max="3" width="8.140625" customWidth="1"/>
    <col min="4" max="4" width="6.42578125" customWidth="1"/>
    <col min="5" max="5" width="4" customWidth="1"/>
    <col min="6" max="6" width="11.7109375" customWidth="1"/>
    <col min="7" max="7" width="2.85546875" customWidth="1"/>
    <col min="8" max="8" width="14.42578125" customWidth="1"/>
    <col min="9" max="9" width="10.140625" customWidth="1"/>
    <col min="10" max="11" width="9.140625"/>
    <col min="13" max="13" width="5.140625" customWidth="1"/>
    <col min="14" max="14" width="12.42578125" customWidth="1"/>
    <col min="15" max="15" width="12.7109375" bestFit="1" customWidth="1"/>
    <col min="16" max="16" width="5" customWidth="1"/>
    <col min="17" max="17" width="7.42578125" customWidth="1"/>
    <col min="18" max="18" width="12.5703125" customWidth="1"/>
  </cols>
  <sheetData>
    <row r="1" spans="1:20" ht="18.75" x14ac:dyDescent="0.3">
      <c r="A1" s="10" t="s">
        <v>78</v>
      </c>
      <c r="G1" s="2"/>
      <c r="H1" s="2" t="s">
        <v>14</v>
      </c>
      <c r="I1" s="22">
        <v>45013</v>
      </c>
      <c r="L1" s="57" t="s">
        <v>34</v>
      </c>
      <c r="N1" t="s">
        <v>83</v>
      </c>
    </row>
    <row r="2" spans="1:20" s="47" customFormat="1" x14ac:dyDescent="0.25">
      <c r="J2" s="48"/>
      <c r="L2" s="44" t="s">
        <v>33</v>
      </c>
    </row>
    <row r="3" spans="1:20" s="47" customFormat="1" ht="15.75" thickBot="1" x14ac:dyDescent="0.3">
      <c r="J3" s="48"/>
      <c r="L3" s="48"/>
    </row>
    <row r="4" spans="1:20" ht="15.75" thickBot="1" x14ac:dyDescent="0.3">
      <c r="B4" s="18" t="s">
        <v>0</v>
      </c>
      <c r="C4" s="19">
        <v>0.86</v>
      </c>
      <c r="D4" s="20" t="s">
        <v>15</v>
      </c>
      <c r="E4" s="21" t="s">
        <v>59</v>
      </c>
      <c r="F4" s="6"/>
      <c r="G4" s="6"/>
      <c r="H4" s="9"/>
      <c r="I4" s="6"/>
      <c r="J4" s="9"/>
    </row>
    <row r="5" spans="1:20" x14ac:dyDescent="0.25">
      <c r="B5" s="13"/>
      <c r="C5" s="11"/>
      <c r="D5" s="14"/>
      <c r="E5" s="32"/>
      <c r="F5" s="11"/>
      <c r="G5" s="11"/>
      <c r="H5" s="11"/>
    </row>
    <row r="6" spans="1:20" ht="18.75" x14ac:dyDescent="0.3">
      <c r="A6" s="10" t="s">
        <v>58</v>
      </c>
    </row>
    <row r="7" spans="1:20" x14ac:dyDescent="0.25">
      <c r="A7" s="4">
        <v>1</v>
      </c>
      <c r="B7">
        <f>C4</f>
        <v>0.86</v>
      </c>
      <c r="C7" s="1" t="s">
        <v>15</v>
      </c>
      <c r="D7" s="61" t="s">
        <v>4</v>
      </c>
      <c r="E7" s="61"/>
      <c r="F7" s="31">
        <v>0</v>
      </c>
      <c r="G7" s="31" t="s">
        <v>6</v>
      </c>
      <c r="H7" s="76" t="str">
        <f>DEC2HEX(F7)</f>
        <v>0</v>
      </c>
      <c r="I7" s="1" t="s">
        <v>5</v>
      </c>
      <c r="J7" s="54" t="s">
        <v>48</v>
      </c>
      <c r="K7" s="4"/>
    </row>
    <row r="8" spans="1:20" x14ac:dyDescent="0.25">
      <c r="A8" s="4">
        <v>0</v>
      </c>
      <c r="B8">
        <v>0</v>
      </c>
      <c r="C8" s="1" t="s">
        <v>15</v>
      </c>
      <c r="D8" s="61" t="s">
        <v>4</v>
      </c>
      <c r="E8" s="61"/>
      <c r="F8" s="31">
        <f>2^(15-1)</f>
        <v>16384</v>
      </c>
      <c r="G8" s="24" t="s">
        <v>6</v>
      </c>
      <c r="H8" s="76">
        <v>0</v>
      </c>
      <c r="I8" s="1" t="s">
        <v>5</v>
      </c>
      <c r="J8" s="54" t="s">
        <v>49</v>
      </c>
      <c r="K8" s="4"/>
    </row>
    <row r="9" spans="1:20" x14ac:dyDescent="0.25">
      <c r="A9" s="4"/>
    </row>
    <row r="10" spans="1:20" x14ac:dyDescent="0.25">
      <c r="M10" s="77" t="s">
        <v>60</v>
      </c>
      <c r="N10" s="78"/>
      <c r="O10" s="77"/>
      <c r="P10" s="77"/>
      <c r="Q10" s="77"/>
      <c r="R10" s="77"/>
      <c r="S10" s="77"/>
    </row>
    <row r="11" spans="1:20" ht="15.75" thickBot="1" x14ac:dyDescent="0.3">
      <c r="M11" s="63" t="s">
        <v>17</v>
      </c>
      <c r="N11" s="63"/>
      <c r="O11" s="79">
        <v>0.44</v>
      </c>
      <c r="P11" s="80" t="s">
        <v>15</v>
      </c>
      <c r="Q11" s="81" t="s">
        <v>6</v>
      </c>
      <c r="R11" s="88">
        <f>ROUND(O11*100/$C$4,2)</f>
        <v>51.16</v>
      </c>
      <c r="S11" s="63" t="s">
        <v>16</v>
      </c>
      <c r="T11" t="s">
        <v>73</v>
      </c>
    </row>
    <row r="12" spans="1:20" ht="15.75" thickBot="1" x14ac:dyDescent="0.3">
      <c r="M12" s="82" t="s">
        <v>8</v>
      </c>
      <c r="N12" s="83"/>
      <c r="O12" s="83">
        <f>ROUND(ABS(F8/$C$4*(B7-O11)),2)</f>
        <v>8001.49</v>
      </c>
      <c r="P12" s="87" t="s">
        <v>10</v>
      </c>
      <c r="Q12" s="86" t="s">
        <v>6</v>
      </c>
      <c r="R12" s="89" t="str">
        <f>DEC2HEX(O12)</f>
        <v>1F41</v>
      </c>
      <c r="S12" s="85" t="s">
        <v>5</v>
      </c>
    </row>
    <row r="13" spans="1:20" x14ac:dyDescent="0.25">
      <c r="M13" s="63"/>
      <c r="N13" s="63"/>
      <c r="O13" s="63"/>
      <c r="P13" s="63"/>
      <c r="Q13" s="63"/>
      <c r="R13" s="63"/>
      <c r="S13" s="63"/>
    </row>
    <row r="14" spans="1:20" x14ac:dyDescent="0.25">
      <c r="M14" s="77" t="s">
        <v>63</v>
      </c>
      <c r="N14" s="78"/>
      <c r="O14" s="77"/>
      <c r="P14" s="77"/>
      <c r="Q14" s="77"/>
      <c r="R14" s="77"/>
      <c r="S14" s="77"/>
    </row>
    <row r="15" spans="1:20" ht="15.75" thickBot="1" x14ac:dyDescent="0.3">
      <c r="M15" s="63" t="s">
        <v>65</v>
      </c>
      <c r="N15" s="63"/>
      <c r="O15" s="79">
        <v>12.8</v>
      </c>
      <c r="P15" s="80" t="s">
        <v>16</v>
      </c>
      <c r="Q15" s="81" t="s">
        <v>6</v>
      </c>
      <c r="R15" s="98">
        <f>ROUND($C$4/100*O15,2)</f>
        <v>0.11</v>
      </c>
      <c r="S15" s="90" t="s">
        <v>15</v>
      </c>
      <c r="T15" t="s">
        <v>73</v>
      </c>
    </row>
    <row r="16" spans="1:20" ht="15.75" thickBot="1" x14ac:dyDescent="0.3">
      <c r="M16" s="82" t="s">
        <v>8</v>
      </c>
      <c r="N16" s="82"/>
      <c r="O16" s="83">
        <f>ROUND(ABS(F8/$C$4*($C$4-R15)),2)</f>
        <v>14288.37</v>
      </c>
      <c r="P16" s="87" t="s">
        <v>10</v>
      </c>
      <c r="Q16" s="51" t="s">
        <v>6</v>
      </c>
      <c r="R16" s="99" t="str">
        <f>DEC2HEX(O16)</f>
        <v>37D0</v>
      </c>
      <c r="S16" s="85" t="s">
        <v>5</v>
      </c>
    </row>
    <row r="17" spans="13:20" x14ac:dyDescent="0.25">
      <c r="M17" s="63"/>
      <c r="N17" s="63"/>
      <c r="O17" s="63"/>
      <c r="P17" s="63"/>
      <c r="Q17" s="63"/>
      <c r="R17" s="63"/>
      <c r="S17" s="63"/>
    </row>
    <row r="18" spans="13:20" x14ac:dyDescent="0.25">
      <c r="M18" s="77" t="s">
        <v>64</v>
      </c>
      <c r="N18" s="78"/>
      <c r="O18" s="77"/>
      <c r="P18" s="77"/>
      <c r="Q18" s="77"/>
      <c r="R18" s="77"/>
      <c r="S18" s="77"/>
    </row>
    <row r="19" spans="13:20" ht="15.75" thickBot="1" x14ac:dyDescent="0.3">
      <c r="M19" s="91" t="s">
        <v>8</v>
      </c>
      <c r="N19" s="91"/>
      <c r="O19" s="92">
        <v>14288.37</v>
      </c>
      <c r="P19" s="93" t="s">
        <v>10</v>
      </c>
      <c r="Q19" s="94" t="s">
        <v>6</v>
      </c>
      <c r="R19" s="45" t="str">
        <f>DEC2HEX(O19)</f>
        <v>37D0</v>
      </c>
      <c r="S19" t="s">
        <v>5</v>
      </c>
    </row>
    <row r="20" spans="13:20" ht="15.75" thickBot="1" x14ac:dyDescent="0.3">
      <c r="M20" s="5" t="s">
        <v>17</v>
      </c>
      <c r="N20" s="83"/>
      <c r="O20" s="83">
        <f>ROUND(ABS($C$4-(O19*$C$4/F8)),2)</f>
        <v>0.11</v>
      </c>
      <c r="P20" s="87" t="s">
        <v>15</v>
      </c>
      <c r="Q20" s="51" t="s">
        <v>6</v>
      </c>
      <c r="R20" s="97">
        <f>ROUND(O20*100/$C$4,2)</f>
        <v>12.79</v>
      </c>
      <c r="S20" s="85" t="s">
        <v>16</v>
      </c>
      <c r="T20" t="s">
        <v>73</v>
      </c>
    </row>
    <row r="22" spans="13:20" x14ac:dyDescent="0.25">
      <c r="M22" s="43" t="s">
        <v>66</v>
      </c>
    </row>
    <row r="23" spans="13:20" x14ac:dyDescent="0.25">
      <c r="M23" s="1" t="s">
        <v>67</v>
      </c>
    </row>
    <row r="24" spans="13:20" x14ac:dyDescent="0.25">
      <c r="M24" s="90" t="s">
        <v>68</v>
      </c>
    </row>
    <row r="25" spans="13:20" x14ac:dyDescent="0.25">
      <c r="M25" s="96" t="s">
        <v>69</v>
      </c>
    </row>
    <row r="26" spans="13:20" x14ac:dyDescent="0.25">
      <c r="M26" s="96" t="s">
        <v>70</v>
      </c>
    </row>
    <row r="27" spans="13:20" x14ac:dyDescent="0.25">
      <c r="M27" s="74" t="s">
        <v>71</v>
      </c>
      <c r="N27" s="66"/>
      <c r="O27" s="65"/>
      <c r="P27" s="65"/>
      <c r="Q27" s="65"/>
      <c r="R27" s="65"/>
      <c r="S27" s="65"/>
    </row>
    <row r="28" spans="13:20" x14ac:dyDescent="0.25">
      <c r="M28" s="74" t="s">
        <v>72</v>
      </c>
      <c r="N28" s="66"/>
      <c r="O28" s="67"/>
      <c r="P28" s="68"/>
      <c r="Q28" s="69"/>
      <c r="R28" s="70"/>
      <c r="S28" s="66"/>
    </row>
    <row r="29" spans="13:20" x14ac:dyDescent="0.25">
      <c r="M29" s="66"/>
      <c r="N29" s="66"/>
      <c r="O29" s="71"/>
      <c r="P29" s="72"/>
      <c r="Q29" s="73"/>
      <c r="R29" s="74"/>
      <c r="S29" s="66"/>
    </row>
    <row r="30" spans="13:20" x14ac:dyDescent="0.25">
      <c r="M30" s="63" t="s">
        <v>74</v>
      </c>
      <c r="N30" s="66"/>
      <c r="O30" s="66"/>
      <c r="P30" s="66"/>
      <c r="Q30" s="66"/>
      <c r="R30" s="66"/>
      <c r="S30" s="66"/>
    </row>
    <row r="31" spans="13:20" x14ac:dyDescent="0.25">
      <c r="M31" s="63" t="s">
        <v>76</v>
      </c>
      <c r="N31" s="66"/>
      <c r="O31" s="65"/>
      <c r="P31" s="65"/>
      <c r="Q31" s="65"/>
      <c r="R31" s="65"/>
      <c r="S31" s="65"/>
    </row>
    <row r="32" spans="13:20" x14ac:dyDescent="0.25">
      <c r="M32" s="63" t="s">
        <v>75</v>
      </c>
      <c r="N32" s="66"/>
      <c r="O32" s="67"/>
      <c r="P32" s="68"/>
      <c r="Q32" s="69"/>
      <c r="R32" s="70"/>
      <c r="S32" s="66"/>
    </row>
    <row r="33" spans="1:19" x14ac:dyDescent="0.25">
      <c r="M33" s="63" t="s">
        <v>77</v>
      </c>
      <c r="N33" s="66"/>
      <c r="O33" s="71"/>
      <c r="P33" s="72"/>
      <c r="Q33" s="73"/>
      <c r="R33" s="74"/>
      <c r="S33" s="66"/>
    </row>
    <row r="34" spans="1:19" ht="18.75" x14ac:dyDescent="0.3">
      <c r="A34" s="10"/>
      <c r="C34" s="1"/>
      <c r="D34" s="61"/>
      <c r="E34" s="61"/>
      <c r="F34" s="31"/>
      <c r="G34" s="2"/>
      <c r="H34" s="1"/>
      <c r="I34" s="1"/>
      <c r="J34" s="1"/>
    </row>
    <row r="35" spans="1:19" x14ac:dyDescent="0.25">
      <c r="A35" s="4"/>
      <c r="C35" s="1"/>
      <c r="D35" s="61"/>
      <c r="E35" s="61"/>
      <c r="F35" s="31"/>
      <c r="G35" s="2"/>
      <c r="H35" s="1"/>
      <c r="I35" s="54"/>
      <c r="J35" s="1"/>
    </row>
    <row r="36" spans="1:19" x14ac:dyDescent="0.25">
      <c r="A36" s="4"/>
      <c r="C36" s="1"/>
      <c r="D36" s="61"/>
      <c r="E36" s="61"/>
      <c r="F36" s="31"/>
      <c r="G36" s="2"/>
      <c r="H36" s="1"/>
      <c r="I36" s="1"/>
      <c r="J36" s="1"/>
    </row>
    <row r="37" spans="1:19" x14ac:dyDescent="0.25">
      <c r="A37" s="4"/>
    </row>
  </sheetData>
  <mergeCells count="5">
    <mergeCell ref="D35:E35"/>
    <mergeCell ref="D36:E36"/>
    <mergeCell ref="D7:E7"/>
    <mergeCell ref="D8:E8"/>
    <mergeCell ref="D34:E34"/>
  </mergeCell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7807FF25-927C-4BF1-AF31-99D11CA0AF2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Torque!C7:C7</xm:f>
              <xm:sqref>F7</xm:sqref>
            </x14:sparkline>
            <x14:sparkline>
              <xm:f>Torque!C8:C8</xm:f>
              <xm:sqref>F8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E6B35-ECBD-4660-9B82-BB65E67A06A4}">
  <dimension ref="A1:S19"/>
  <sheetViews>
    <sheetView workbookViewId="0">
      <selection activeCell="M10" sqref="M10"/>
    </sheetView>
  </sheetViews>
  <sheetFormatPr baseColWidth="10" defaultRowHeight="15" x14ac:dyDescent="0.25"/>
  <cols>
    <col min="3" max="3" width="8.140625" customWidth="1"/>
    <col min="4" max="4" width="4.42578125" customWidth="1"/>
    <col min="5" max="5" width="7.5703125" customWidth="1"/>
    <col min="7" max="7" width="3.28515625" customWidth="1"/>
    <col min="13" max="13" width="5.140625" customWidth="1"/>
    <col min="14" max="14" width="12.42578125" customWidth="1"/>
    <col min="15" max="15" width="12.7109375" bestFit="1" customWidth="1"/>
    <col min="16" max="16" width="5" customWidth="1"/>
    <col min="17" max="17" width="3.85546875" customWidth="1"/>
  </cols>
  <sheetData>
    <row r="1" spans="1:19" ht="18.75" x14ac:dyDescent="0.3">
      <c r="A1" s="10" t="s">
        <v>87</v>
      </c>
      <c r="H1" s="2" t="s">
        <v>14</v>
      </c>
      <c r="I1" s="22">
        <v>45013</v>
      </c>
      <c r="L1" s="57" t="s">
        <v>34</v>
      </c>
      <c r="N1" t="s">
        <v>83</v>
      </c>
    </row>
    <row r="2" spans="1:19" ht="15.75" customHeight="1" x14ac:dyDescent="0.3">
      <c r="A2" s="10"/>
      <c r="H2" s="2"/>
      <c r="I2" s="22"/>
      <c r="L2" s="44" t="s">
        <v>33</v>
      </c>
    </row>
    <row r="3" spans="1:19" ht="15.75" thickBot="1" x14ac:dyDescent="0.3"/>
    <row r="4" spans="1:19" ht="15.75" thickBot="1" x14ac:dyDescent="0.3">
      <c r="B4" s="18" t="s">
        <v>0</v>
      </c>
      <c r="C4" s="19">
        <v>565</v>
      </c>
      <c r="D4" s="20" t="s">
        <v>21</v>
      </c>
      <c r="E4" s="21" t="s">
        <v>94</v>
      </c>
      <c r="F4" s="26"/>
      <c r="G4" s="26"/>
      <c r="H4" s="26"/>
      <c r="I4" s="26"/>
      <c r="J4" s="27"/>
    </row>
    <row r="5" spans="1:19" ht="15.75" thickBot="1" x14ac:dyDescent="0.3">
      <c r="B5" s="18" t="s">
        <v>2</v>
      </c>
      <c r="C5" s="19">
        <f>C4*2</f>
        <v>1130</v>
      </c>
      <c r="D5" s="20" t="s">
        <v>21</v>
      </c>
      <c r="E5" s="29"/>
      <c r="F5" s="6"/>
      <c r="G5" s="6"/>
      <c r="H5" s="6"/>
      <c r="I5" s="6"/>
      <c r="J5" s="9"/>
    </row>
    <row r="6" spans="1:19" ht="15.75" customHeight="1" x14ac:dyDescent="0.25">
      <c r="B6" s="73"/>
      <c r="C6" s="65"/>
      <c r="D6" s="74"/>
      <c r="E6" s="95"/>
      <c r="F6" s="66"/>
      <c r="G6" s="66"/>
      <c r="H6" s="66"/>
      <c r="I6" s="66"/>
      <c r="J6" s="66"/>
    </row>
    <row r="7" spans="1:19" ht="18.75" x14ac:dyDescent="0.3">
      <c r="A7" s="10" t="s">
        <v>88</v>
      </c>
      <c r="H7" s="2"/>
      <c r="I7" s="22"/>
      <c r="L7" s="57"/>
    </row>
    <row r="8" spans="1:19" x14ac:dyDescent="0.25">
      <c r="A8" s="4">
        <v>2</v>
      </c>
      <c r="B8">
        <f>2*C4</f>
        <v>1130</v>
      </c>
      <c r="C8" s="1" t="s">
        <v>15</v>
      </c>
      <c r="D8" s="61" t="s">
        <v>4</v>
      </c>
      <c r="E8" s="61"/>
      <c r="F8" s="31">
        <f>2^(16-1)-1</f>
        <v>32767</v>
      </c>
      <c r="G8" s="28" t="s">
        <v>6</v>
      </c>
      <c r="H8" s="2" t="str">
        <f>DEC2HEX(F8)</f>
        <v>7FFF</v>
      </c>
      <c r="I8" s="1" t="s">
        <v>5</v>
      </c>
      <c r="J8" s="1"/>
      <c r="K8" s="1"/>
    </row>
    <row r="9" spans="1:19" x14ac:dyDescent="0.25">
      <c r="A9" s="4">
        <v>-2</v>
      </c>
      <c r="B9">
        <f>C4*-2</f>
        <v>-1130</v>
      </c>
      <c r="C9" s="1" t="s">
        <v>15</v>
      </c>
      <c r="D9" s="61" t="s">
        <v>4</v>
      </c>
      <c r="E9" s="61"/>
      <c r="F9" s="31">
        <f>-1*2^(16-1)</f>
        <v>-32768</v>
      </c>
      <c r="G9" s="28" t="s">
        <v>6</v>
      </c>
      <c r="H9" s="2" t="str">
        <f>DEC2HEX(F9)</f>
        <v>FFFFFF8000</v>
      </c>
      <c r="I9" s="1" t="s">
        <v>5</v>
      </c>
      <c r="J9" s="1"/>
      <c r="K9" s="1"/>
    </row>
    <row r="10" spans="1:19" x14ac:dyDescent="0.25">
      <c r="M10" s="77" t="s">
        <v>89</v>
      </c>
      <c r="N10" s="78"/>
      <c r="O10" s="77"/>
      <c r="P10" s="77"/>
      <c r="Q10" s="77"/>
      <c r="R10" s="77"/>
      <c r="S10" s="77"/>
    </row>
    <row r="11" spans="1:19" ht="15.75" thickBot="1" x14ac:dyDescent="0.3">
      <c r="M11" s="63" t="s">
        <v>95</v>
      </c>
      <c r="N11" s="63"/>
      <c r="O11" s="79">
        <v>300</v>
      </c>
      <c r="P11" s="80" t="s">
        <v>21</v>
      </c>
      <c r="Q11" s="81" t="s">
        <v>6</v>
      </c>
      <c r="R11" s="104">
        <f>ROUND(O11*100/C4,2)</f>
        <v>53.1</v>
      </c>
      <c r="S11" s="63" t="s">
        <v>16</v>
      </c>
    </row>
    <row r="12" spans="1:19" ht="15.75" thickBot="1" x14ac:dyDescent="0.3">
      <c r="M12" s="82" t="s">
        <v>8</v>
      </c>
      <c r="N12" s="83"/>
      <c r="O12" s="83">
        <f>ROUND(ABS($F$9)/C5*O11,2)</f>
        <v>8699.4699999999993</v>
      </c>
      <c r="P12" s="87" t="s">
        <v>10</v>
      </c>
      <c r="Q12" s="107" t="s">
        <v>6</v>
      </c>
      <c r="R12" s="105" t="str">
        <f>DEC2HEX(O12)</f>
        <v>21FB</v>
      </c>
      <c r="S12" s="85" t="s">
        <v>5</v>
      </c>
    </row>
    <row r="13" spans="1:19" x14ac:dyDescent="0.25">
      <c r="M13" s="63"/>
      <c r="N13" s="63"/>
      <c r="O13" s="63"/>
      <c r="P13" s="63"/>
      <c r="Q13" s="63"/>
      <c r="R13" s="63"/>
      <c r="S13" s="63"/>
    </row>
    <row r="14" spans="1:19" x14ac:dyDescent="0.25">
      <c r="M14" s="77" t="s">
        <v>90</v>
      </c>
      <c r="N14" s="78"/>
      <c r="O14" s="77"/>
      <c r="P14" s="77"/>
      <c r="Q14" s="77"/>
      <c r="R14" s="77"/>
      <c r="S14" s="77"/>
    </row>
    <row r="15" spans="1:19" ht="15.75" thickBot="1" x14ac:dyDescent="0.3">
      <c r="M15" s="63" t="s">
        <v>8</v>
      </c>
      <c r="N15" s="63"/>
      <c r="O15" s="62" t="s">
        <v>91</v>
      </c>
      <c r="P15" s="80" t="s">
        <v>5</v>
      </c>
      <c r="Q15" s="81" t="s">
        <v>6</v>
      </c>
      <c r="R15" s="108">
        <f>HEX2DEC(O15)</f>
        <v>16239</v>
      </c>
      <c r="S15" s="90" t="s">
        <v>10</v>
      </c>
    </row>
    <row r="16" spans="1:19" ht="15.75" thickBot="1" x14ac:dyDescent="0.3">
      <c r="M16" s="82" t="s">
        <v>96</v>
      </c>
      <c r="N16" s="83"/>
      <c r="O16" s="83">
        <f>ROUND($C$5/ABS(F9)*HEX2DEC(O15),2)</f>
        <v>560</v>
      </c>
      <c r="P16" s="87" t="s">
        <v>21</v>
      </c>
      <c r="Q16" s="84" t="s">
        <v>6</v>
      </c>
      <c r="R16" s="109">
        <f>ROUND(O16*100/C4,2)</f>
        <v>99.12</v>
      </c>
      <c r="S16" s="85" t="s">
        <v>16</v>
      </c>
    </row>
    <row r="18" spans="13:13" x14ac:dyDescent="0.25">
      <c r="M18" s="43" t="s">
        <v>92</v>
      </c>
    </row>
    <row r="19" spans="13:13" x14ac:dyDescent="0.25">
      <c r="M19" s="1" t="s">
        <v>93</v>
      </c>
    </row>
  </sheetData>
  <mergeCells count="2">
    <mergeCell ref="D8:E8"/>
    <mergeCell ref="D9:E9"/>
  </mergeCells>
  <pageMargins left="0.7" right="0.7" top="0.78740157499999996" bottom="0.78740157499999996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41ADD690-7DA6-4A6B-9C92-61F5266FB49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Voltage!C9:C9</xm:f>
              <xm:sqref>F9</xm:sqref>
            </x14:sparkline>
          </x14:sparklines>
        </x14:sparklineGroup>
        <x14:sparklineGroup displayEmptyCellsAs="gap" xr2:uid="{218F6DAB-D769-4982-8F0F-3A739FE5FAA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Voltage!C8:C8</xm:f>
              <xm:sqref>F8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21288-4FB3-4F60-8DDE-13A0F657DD66}">
  <dimension ref="A1:S19"/>
  <sheetViews>
    <sheetView tabSelected="1" workbookViewId="0">
      <selection activeCell="L4" sqref="L4"/>
    </sheetView>
  </sheetViews>
  <sheetFormatPr baseColWidth="10" defaultRowHeight="15" x14ac:dyDescent="0.25"/>
  <cols>
    <col min="3" max="3" width="7.42578125" customWidth="1"/>
    <col min="4" max="4" width="3.28515625" customWidth="1"/>
    <col min="6" max="6" width="10.7109375" customWidth="1"/>
    <col min="7" max="7" width="3.28515625" customWidth="1"/>
    <col min="13" max="13" width="5.140625" customWidth="1"/>
    <col min="14" max="14" width="12.42578125" customWidth="1"/>
    <col min="15" max="15" width="12.7109375" bestFit="1" customWidth="1"/>
    <col min="16" max="16" width="5" customWidth="1"/>
    <col min="17" max="17" width="4.7109375" customWidth="1"/>
    <col min="18" max="18" width="8.85546875" customWidth="1"/>
  </cols>
  <sheetData>
    <row r="1" spans="1:19" ht="18.75" x14ac:dyDescent="0.3">
      <c r="A1" s="10" t="s">
        <v>100</v>
      </c>
      <c r="H1" s="2" t="s">
        <v>14</v>
      </c>
      <c r="I1" s="22">
        <v>45013</v>
      </c>
    </row>
    <row r="2" spans="1:19" ht="15.75" thickBot="1" x14ac:dyDescent="0.3"/>
    <row r="3" spans="1:19" ht="15.75" thickBot="1" x14ac:dyDescent="0.3">
      <c r="B3" s="18" t="s">
        <v>0</v>
      </c>
      <c r="C3" s="19">
        <v>100</v>
      </c>
      <c r="D3" s="20" t="s">
        <v>18</v>
      </c>
      <c r="E3" s="21" t="s">
        <v>97</v>
      </c>
      <c r="F3" s="9"/>
      <c r="G3" s="6"/>
      <c r="H3" s="6"/>
      <c r="I3" s="9"/>
    </row>
    <row r="4" spans="1:19" ht="15.75" thickBot="1" x14ac:dyDescent="0.3">
      <c r="A4" s="47"/>
      <c r="B4" s="100" t="s">
        <v>2</v>
      </c>
      <c r="C4" s="75">
        <f>C3*2</f>
        <v>200</v>
      </c>
      <c r="D4" s="101" t="s">
        <v>18</v>
      </c>
      <c r="E4" s="21" t="s">
        <v>80</v>
      </c>
      <c r="F4" s="6"/>
      <c r="G4" s="6"/>
      <c r="H4" s="6"/>
      <c r="I4" s="9"/>
    </row>
    <row r="5" spans="1:19" x14ac:dyDescent="0.25">
      <c r="A5" s="47"/>
      <c r="B5" s="73"/>
      <c r="C5" s="65"/>
      <c r="D5" s="74"/>
      <c r="E5" s="32"/>
      <c r="F5" s="11"/>
    </row>
    <row r="6" spans="1:19" ht="18.75" x14ac:dyDescent="0.3">
      <c r="A6" s="102" t="s">
        <v>79</v>
      </c>
      <c r="B6" s="73"/>
      <c r="C6" s="65"/>
      <c r="D6" s="74"/>
      <c r="E6" s="32"/>
      <c r="F6" s="11"/>
    </row>
    <row r="8" spans="1:19" x14ac:dyDescent="0.25">
      <c r="A8" s="4">
        <v>2</v>
      </c>
      <c r="B8">
        <f>2*C3</f>
        <v>200</v>
      </c>
      <c r="C8" s="1" t="s">
        <v>18</v>
      </c>
      <c r="D8" s="61" t="s">
        <v>4</v>
      </c>
      <c r="E8" s="61"/>
      <c r="F8" s="31">
        <f>2^(16-1)-1</f>
        <v>32767</v>
      </c>
      <c r="G8" s="25" t="s">
        <v>6</v>
      </c>
      <c r="H8" s="2" t="str">
        <f>DEC2HEX(F8)</f>
        <v>7FFF</v>
      </c>
      <c r="I8" s="1" t="s">
        <v>5</v>
      </c>
      <c r="J8" s="1"/>
      <c r="K8" s="1"/>
    </row>
    <row r="9" spans="1:19" x14ac:dyDescent="0.25">
      <c r="A9" s="4">
        <v>-2</v>
      </c>
      <c r="B9">
        <f>C3*-2</f>
        <v>-200</v>
      </c>
      <c r="C9" s="1" t="s">
        <v>18</v>
      </c>
      <c r="D9" s="61" t="s">
        <v>4</v>
      </c>
      <c r="E9" s="61"/>
      <c r="F9" s="31">
        <f>-1*2^(16-1)</f>
        <v>-32768</v>
      </c>
      <c r="G9" s="25" t="s">
        <v>6</v>
      </c>
      <c r="H9" s="2" t="str">
        <f>DEC2HEX(F9)</f>
        <v>FFFFFF8000</v>
      </c>
      <c r="I9" s="1" t="s">
        <v>5</v>
      </c>
      <c r="J9" s="1"/>
      <c r="K9" s="1"/>
    </row>
    <row r="10" spans="1:19" x14ac:dyDescent="0.25">
      <c r="M10" s="77" t="s">
        <v>98</v>
      </c>
      <c r="N10" s="78"/>
      <c r="O10" s="77"/>
      <c r="P10" s="77"/>
      <c r="Q10" s="77"/>
      <c r="R10" s="77"/>
      <c r="S10" s="77"/>
    </row>
    <row r="11" spans="1:19" ht="15.75" thickBot="1" x14ac:dyDescent="0.3">
      <c r="M11" s="63" t="s">
        <v>19</v>
      </c>
      <c r="N11" s="63"/>
      <c r="O11" s="79">
        <v>80</v>
      </c>
      <c r="P11" s="80" t="s">
        <v>18</v>
      </c>
      <c r="Q11" s="81" t="s">
        <v>6</v>
      </c>
      <c r="R11" s="88">
        <f>ROUND(O11*100/C3,2)</f>
        <v>80</v>
      </c>
      <c r="S11" s="63" t="s">
        <v>16</v>
      </c>
    </row>
    <row r="12" spans="1:19" ht="15.75" thickBot="1" x14ac:dyDescent="0.3">
      <c r="M12" s="82" t="s">
        <v>8</v>
      </c>
      <c r="N12" s="83"/>
      <c r="O12" s="83">
        <f>ROUND(ABS($F$9)/C4*O11,2)</f>
        <v>13107.2</v>
      </c>
      <c r="P12" s="103" t="s">
        <v>10</v>
      </c>
      <c r="Q12" s="84" t="s">
        <v>6</v>
      </c>
      <c r="R12" s="89" t="str">
        <f>DEC2HEX(O12)</f>
        <v>3333</v>
      </c>
      <c r="S12" s="85" t="s">
        <v>5</v>
      </c>
    </row>
    <row r="13" spans="1:19" x14ac:dyDescent="0.25">
      <c r="M13" s="63"/>
      <c r="N13" s="63"/>
      <c r="O13" s="63"/>
      <c r="P13" s="63"/>
      <c r="Q13" s="63"/>
      <c r="R13" s="63"/>
      <c r="S13" s="63"/>
    </row>
    <row r="14" spans="1:19" x14ac:dyDescent="0.25">
      <c r="M14" s="77" t="s">
        <v>99</v>
      </c>
      <c r="N14" s="78"/>
      <c r="O14" s="77"/>
      <c r="P14" s="77"/>
      <c r="Q14" s="77"/>
      <c r="R14" s="77"/>
      <c r="S14" s="77"/>
    </row>
    <row r="15" spans="1:19" ht="15.75" thickBot="1" x14ac:dyDescent="0.3">
      <c r="M15" s="63" t="s">
        <v>8</v>
      </c>
      <c r="N15" s="63"/>
      <c r="O15" s="62">
        <v>1087</v>
      </c>
      <c r="P15" s="80" t="s">
        <v>5</v>
      </c>
      <c r="Q15" s="81" t="s">
        <v>6</v>
      </c>
      <c r="R15" s="64">
        <f>HEX2DEC(O15)</f>
        <v>4231</v>
      </c>
      <c r="S15" s="90" t="s">
        <v>10</v>
      </c>
    </row>
    <row r="16" spans="1:19" ht="15.75" thickBot="1" x14ac:dyDescent="0.3">
      <c r="M16" s="82" t="s">
        <v>20</v>
      </c>
      <c r="N16" s="83"/>
      <c r="O16" s="83">
        <f>ROUND($C$4/ABS(F9)*HEX2DEC(O15),2)</f>
        <v>25.82</v>
      </c>
      <c r="P16" s="87" t="s">
        <v>18</v>
      </c>
      <c r="Q16" s="84" t="s">
        <v>6</v>
      </c>
      <c r="R16" s="106">
        <f>ROUND(O16*100/C3,2)</f>
        <v>25.82</v>
      </c>
      <c r="S16" s="85" t="s">
        <v>16</v>
      </c>
    </row>
    <row r="18" spans="13:13" x14ac:dyDescent="0.25">
      <c r="M18" s="43" t="s">
        <v>92</v>
      </c>
    </row>
    <row r="19" spans="13:13" x14ac:dyDescent="0.25">
      <c r="M19" s="1" t="s">
        <v>93</v>
      </c>
    </row>
  </sheetData>
  <mergeCells count="2">
    <mergeCell ref="D8:E8"/>
    <mergeCell ref="D9:E9"/>
  </mergeCell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DC681EA9-8A49-476F-BCAE-7363BD02942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Temperature!C9:C9</xm:f>
              <xm:sqref>F9</xm:sqref>
            </x14:sparkline>
          </x14:sparklines>
        </x14:sparklineGroup>
        <x14:sparklineGroup displayEmptyCellsAs="gap" xr2:uid="{1A381A21-0541-4576-AC4A-AF42160A63C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Temperature!C8:C8</xm:f>
              <xm:sqref>F8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Speed</vt:lpstr>
      <vt:lpstr>Ramp</vt:lpstr>
      <vt:lpstr>Torque</vt:lpstr>
      <vt:lpstr>Voltage</vt:lpstr>
      <vt:lpstr>Temperature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Rühl Tobias</dc:creator>
  <cp:lastModifiedBy>Rühl Tobias</cp:lastModifiedBy>
  <dcterms:created xsi:type="dcterms:W3CDTF">2015-06-05T18:19:34Z</dcterms:created>
  <dcterms:modified xsi:type="dcterms:W3CDTF">2023-03-29T13:14:52Z</dcterms:modified>
</cp:coreProperties>
</file>